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1_Archives\FY2023\Bid Evaluations - Clean\"/>
    </mc:Choice>
  </mc:AlternateContent>
  <xr:revisionPtr revIDLastSave="0" documentId="13_ncr:1_{4B84114F-7531-477F-8DE9-7C77A605E6C1}" xr6:coauthVersionLast="36" xr6:coauthVersionMax="47" xr10:uidLastSave="{00000000-0000-0000-0000-000000000000}"/>
  <bookViews>
    <workbookView xWindow="-120" yWindow="-120" windowWidth="29040" windowHeight="15840" tabRatio="722" activeTab="6" xr2:uid="{00000000-000D-0000-FFFF-FFFF00000000}"/>
  </bookViews>
  <sheets>
    <sheet name="1" sheetId="2" r:id="rId1"/>
    <sheet name="2" sheetId="3" r:id="rId2"/>
    <sheet name="3" sheetId="5" r:id="rId3"/>
    <sheet name="4" sheetId="9" r:id="rId4"/>
    <sheet name="5" sheetId="15" r:id="rId5"/>
    <sheet name="HUB" sheetId="10" r:id="rId6"/>
    <sheet name="Cost Summary" sheetId="14" r:id="rId7"/>
    <sheet name="Summary" sheetId="1" r:id="rId8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91029"/>
</workbook>
</file>

<file path=xl/calcChain.xml><?xml version="1.0" encoding="utf-8"?>
<calcChain xmlns="http://schemas.openxmlformats.org/spreadsheetml/2006/main">
  <c r="F3" i="14" l="1"/>
  <c r="F4" i="14"/>
  <c r="F5" i="14"/>
  <c r="A4" i="14" l="1"/>
  <c r="A5" i="14"/>
  <c r="A3" i="14"/>
  <c r="K6" i="1" l="1"/>
  <c r="L6" i="1"/>
  <c r="M6" i="1"/>
  <c r="N6" i="1"/>
  <c r="J6" i="1"/>
  <c r="A15" i="14" l="1"/>
  <c r="J5" i="14"/>
  <c r="B5" i="14" s="1"/>
  <c r="H5" i="14" s="1"/>
  <c r="J4" i="14"/>
  <c r="B4" i="14" s="1"/>
  <c r="H4" i="14" s="1"/>
  <c r="A14" i="14"/>
  <c r="J3" i="14"/>
  <c r="B3" i="14" s="1"/>
  <c r="H3" i="14" s="1"/>
  <c r="A13" i="14"/>
  <c r="H7" i="14" l="1"/>
  <c r="B14" i="14" s="1"/>
  <c r="J5" i="5" l="1"/>
  <c r="J5" i="15"/>
  <c r="J5" i="3"/>
  <c r="J5" i="9"/>
  <c r="B15" i="14"/>
  <c r="J5" i="2"/>
  <c r="D15" i="14"/>
  <c r="E15" i="14" s="1"/>
  <c r="D14" i="14"/>
  <c r="E14" i="14" s="1"/>
  <c r="D13" i="14"/>
  <c r="E13" i="14" s="1"/>
  <c r="B13" i="14"/>
  <c r="J6" i="15" l="1"/>
  <c r="J6" i="3"/>
  <c r="J6" i="9"/>
  <c r="J6" i="5"/>
  <c r="J4" i="5"/>
  <c r="J4" i="15"/>
  <c r="J4" i="3"/>
  <c r="J4" i="9"/>
  <c r="C13" i="14"/>
  <c r="J4" i="2"/>
  <c r="J6" i="2"/>
  <c r="C15" i="14"/>
  <c r="C14" i="14"/>
  <c r="A8" i="1" l="1"/>
  <c r="A9" i="1"/>
  <c r="A7" i="1"/>
  <c r="K5" i="10"/>
  <c r="K4" i="10"/>
  <c r="K6" i="10"/>
  <c r="I5" i="15" l="1"/>
  <c r="K5" i="15" s="1"/>
  <c r="F8" i="1" s="1"/>
  <c r="I5" i="9"/>
  <c r="K5" i="9" s="1"/>
  <c r="E8" i="1" s="1"/>
  <c r="I5" i="5"/>
  <c r="K5" i="5" s="1"/>
  <c r="D8" i="1" s="1"/>
  <c r="I5" i="2"/>
  <c r="K5" i="2" s="1"/>
  <c r="B8" i="1" s="1"/>
  <c r="I5" i="3"/>
  <c r="K5" i="3" s="1"/>
  <c r="C8" i="1" s="1"/>
  <c r="K8" i="1" s="1"/>
  <c r="I4" i="2"/>
  <c r="K4" i="2" s="1"/>
  <c r="B7" i="1" s="1"/>
  <c r="I4" i="15"/>
  <c r="K4" i="15" s="1"/>
  <c r="F7" i="1" s="1"/>
  <c r="N8" i="1" s="1"/>
  <c r="I4" i="9"/>
  <c r="K4" i="9" s="1"/>
  <c r="E7" i="1" s="1"/>
  <c r="I4" i="3"/>
  <c r="K4" i="3" s="1"/>
  <c r="C7" i="1" s="1"/>
  <c r="K7" i="1" s="1"/>
  <c r="I4" i="5"/>
  <c r="K4" i="5" s="1"/>
  <c r="D7" i="1" s="1"/>
  <c r="L8" i="1" s="1"/>
  <c r="I6" i="15"/>
  <c r="K6" i="15" s="1"/>
  <c r="F9" i="1" s="1"/>
  <c r="N9" i="1" s="1"/>
  <c r="I6" i="9"/>
  <c r="K6" i="9" s="1"/>
  <c r="E9" i="1" s="1"/>
  <c r="M9" i="1" s="1"/>
  <c r="I6" i="2"/>
  <c r="K6" i="2" s="1"/>
  <c r="B9" i="1" s="1"/>
  <c r="G9" i="1" s="1"/>
  <c r="I6" i="5"/>
  <c r="K6" i="5" s="1"/>
  <c r="D9" i="1" s="1"/>
  <c r="L9" i="1" s="1"/>
  <c r="I6" i="3"/>
  <c r="K6" i="3" s="1"/>
  <c r="C9" i="1" s="1"/>
  <c r="K9" i="1" s="1"/>
  <c r="J7" i="1"/>
  <c r="G7" i="1"/>
  <c r="J9" i="1" l="1"/>
  <c r="J8" i="1"/>
  <c r="G8" i="1"/>
  <c r="L7" i="1"/>
  <c r="M8" i="1"/>
  <c r="M7" i="1"/>
  <c r="N7" i="1"/>
  <c r="O8" i="1"/>
  <c r="O7" i="1"/>
  <c r="O9" i="1"/>
  <c r="P7" i="1" l="1"/>
  <c r="P9" i="1"/>
  <c r="P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Jamil, Hasan R</author>
  </authors>
  <commentList>
    <comment ref="H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Fromula
Fee on CCL + Pre-Construction Phase Fee + Staff Amt 24 Months Term + Bonds and Insurance Amt
</t>
        </r>
      </text>
    </comment>
    <comment ref="J2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COW Calculation</t>
        </r>
        <r>
          <rPr>
            <sz val="9"/>
            <color indexed="81"/>
            <rFont val="Tahoma"/>
            <family val="2"/>
          </rPr>
          <t xml:space="preserve">
COW = ((CCL)–(staff+bonds)–(Precon))/(fee%+1)</t>
        </r>
      </text>
    </comment>
    <comment ref="B1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Fromula:
((1-(Vendor Amount - Lowest Vendor Amount)/Lowest Vendor Amount)*High Score)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<sst xmlns="http://schemas.openxmlformats.org/spreadsheetml/2006/main" count="108" uniqueCount="46">
  <si>
    <t xml:space="preserve">RESPONDENT SUMMARY </t>
  </si>
  <si>
    <t>Evaluator 1</t>
  </si>
  <si>
    <t>Evaluator 2</t>
  </si>
  <si>
    <t>Evaluator 3</t>
  </si>
  <si>
    <t>Evaluator 4</t>
  </si>
  <si>
    <t>Evaluator 5</t>
  </si>
  <si>
    <t>Criteria 1</t>
  </si>
  <si>
    <t>Criteria 2</t>
  </si>
  <si>
    <t>Criteria 3</t>
  </si>
  <si>
    <t>Criteria 4</t>
  </si>
  <si>
    <t>Criteria 5</t>
  </si>
  <si>
    <t>EVALUATION SUMMARY</t>
  </si>
  <si>
    <t>updated 11/17</t>
  </si>
  <si>
    <t>Rank of Average</t>
  </si>
  <si>
    <t>Rank</t>
  </si>
  <si>
    <t>Average Total Score</t>
  </si>
  <si>
    <t>Score</t>
  </si>
  <si>
    <t>Technical</t>
  </si>
  <si>
    <t>Avg of comm rank per vendor</t>
  </si>
  <si>
    <t>Pre-Construction Phase</t>
  </si>
  <si>
    <t>Construction Phase</t>
  </si>
  <si>
    <t xml:space="preserve"> </t>
  </si>
  <si>
    <t>Fee on COW</t>
  </si>
  <si>
    <t>Fee</t>
  </si>
  <si>
    <t>Fee Percentage</t>
  </si>
  <si>
    <t>Staff Amt Monthly</t>
  </si>
  <si>
    <t>Bonds and Insurance Amt</t>
  </si>
  <si>
    <t xml:space="preserve">Sum of Fees </t>
  </si>
  <si>
    <t xml:space="preserve">Cost of Work </t>
  </si>
  <si>
    <t>CCL</t>
  </si>
  <si>
    <t>Project Month:</t>
  </si>
  <si>
    <t>Lowest Sum:</t>
  </si>
  <si>
    <t xml:space="preserve">Formula = </t>
  </si>
  <si>
    <t>((1-Vendor Amount - Lowest Vendor Amount)/Lowest Vendor Amount)*High Score)</t>
  </si>
  <si>
    <t>SCORING SUMMARY</t>
  </si>
  <si>
    <t>Delta to Low Bid</t>
  </si>
  <si>
    <t>Delta % to Low Bid</t>
  </si>
  <si>
    <t>Total</t>
  </si>
  <si>
    <t>Vaughn Construction</t>
  </si>
  <si>
    <t>Bartlett Cocke</t>
  </si>
  <si>
    <t>Turner Construction</t>
  </si>
  <si>
    <t>NOTE:  Purchasing is basing the monthly Staffing Amt given by facilities on 14 months stated in the RFP from July 2023-September 2024.</t>
  </si>
  <si>
    <t>Criteria 6 (HUB)</t>
  </si>
  <si>
    <t>Criteria 7 (Cost)</t>
  </si>
  <si>
    <t>Staff Amt 14 Months Term</t>
  </si>
  <si>
    <t>RFP730-22129 CMAR for College of Technology Building at UH Sugar Land second step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</si>
</sst>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_);_(@_)"/>
    <numFmt numFmtId="165" formatCode="_([$$-409]* #,##0.00_);_([$$-409]* \(#,##0.00\);_([$$-409]* &quot;-&quot;??_);_(@_)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006100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6"/>
      <name val="Arial"/>
      <family val="2"/>
    </font>
    <font>
      <b/>
      <sz val="9"/>
      <color indexed="81"/>
      <name val="Tahoma"/>
      <family val="2"/>
    </font>
  </fonts>
  <fills count="31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14">
    <xf numFmtId="0" fontId="0" fillId="0" borderId="0"/>
    <xf numFmtId="44" fontId="19" fillId="0" borderId="0" applyFont="0" applyFill="0" applyBorder="0" applyAlignment="0" applyProtection="0"/>
    <xf numFmtId="0" fontId="19" fillId="0" borderId="0"/>
    <xf numFmtId="0" fontId="16" fillId="0" borderId="0"/>
    <xf numFmtId="0" fontId="16" fillId="0" borderId="0"/>
    <xf numFmtId="0" fontId="19" fillId="2" borderId="1" applyNumberFormat="0" applyFont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3" fillId="4" borderId="0" applyNumberFormat="0" applyBorder="0" applyAlignment="0" applyProtection="0"/>
    <xf numFmtId="0" fontId="24" fillId="21" borderId="2" applyNumberFormat="0" applyAlignment="0" applyProtection="0"/>
    <xf numFmtId="0" fontId="25" fillId="22" borderId="3" applyNumberFormat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31" fillId="8" borderId="2" applyNumberFormat="0" applyAlignment="0" applyProtection="0"/>
    <xf numFmtId="0" fontId="32" fillId="0" borderId="7" applyNumberFormat="0" applyFill="0" applyAlignment="0" applyProtection="0"/>
    <xf numFmtId="0" fontId="33" fillId="23" borderId="0" applyNumberFormat="0" applyBorder="0" applyAlignment="0" applyProtection="0"/>
    <xf numFmtId="0" fontId="20" fillId="2" borderId="1" applyNumberFormat="0" applyFont="0" applyAlignment="0" applyProtection="0"/>
    <xf numFmtId="0" fontId="34" fillId="21" borderId="8" applyNumberFormat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15" fillId="0" borderId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3" fillId="4" borderId="0" applyNumberFormat="0" applyBorder="0" applyAlignment="0" applyProtection="0"/>
    <xf numFmtId="0" fontId="24" fillId="21" borderId="2" applyNumberFormat="0" applyAlignment="0" applyProtection="0"/>
    <xf numFmtId="0" fontId="25" fillId="22" borderId="3" applyNumberFormat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31" fillId="8" borderId="2" applyNumberFormat="0" applyAlignment="0" applyProtection="0"/>
    <xf numFmtId="0" fontId="32" fillId="0" borderId="7" applyNumberFormat="0" applyFill="0" applyAlignment="0" applyProtection="0"/>
    <xf numFmtId="0" fontId="33" fillId="23" borderId="0" applyNumberFormat="0" applyBorder="0" applyAlignment="0" applyProtection="0"/>
    <xf numFmtId="0" fontId="34" fillId="21" borderId="8" applyNumberFormat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19" fillId="0" borderId="0"/>
    <xf numFmtId="0" fontId="19" fillId="2" borderId="1" applyNumberFormat="0" applyFont="0" applyAlignment="0" applyProtection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19" fillId="0" borderId="0"/>
    <xf numFmtId="0" fontId="19" fillId="2" borderId="1" applyNumberFormat="0" applyFont="0" applyAlignment="0" applyProtection="0"/>
    <xf numFmtId="0" fontId="7" fillId="0" borderId="0"/>
    <xf numFmtId="0" fontId="47" fillId="27" borderId="0" applyNumberFormat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43" fontId="19" fillId="0" borderId="0" applyFont="0" applyFill="0" applyBorder="0" applyAlignment="0" applyProtection="0"/>
    <xf numFmtId="0" fontId="3" fillId="0" borderId="0"/>
    <xf numFmtId="44" fontId="49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17" fillId="0" borderId="0" xfId="0" applyFont="1"/>
    <xf numFmtId="0" fontId="19" fillId="0" borderId="0" xfId="0" applyFont="1"/>
    <xf numFmtId="0" fontId="17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0" fillId="26" borderId="0" xfId="0" applyFont="1" applyFill="1"/>
    <xf numFmtId="0" fontId="41" fillId="26" borderId="0" xfId="0" applyFont="1" applyFill="1"/>
    <xf numFmtId="0" fontId="18" fillId="26" borderId="0" xfId="0" applyFont="1" applyFill="1"/>
    <xf numFmtId="0" fontId="17" fillId="26" borderId="0" xfId="0" applyFont="1" applyFill="1"/>
    <xf numFmtId="0" fontId="17" fillId="26" borderId="0" xfId="0" applyFont="1" applyFill="1" applyAlignment="1">
      <alignment horizontal="left" vertical="center"/>
    </xf>
    <xf numFmtId="0" fontId="17" fillId="26" borderId="0" xfId="0" applyFont="1" applyFill="1" applyAlignment="1">
      <alignment horizontal="right" textRotation="90" wrapText="1"/>
    </xf>
    <xf numFmtId="0" fontId="17" fillId="26" borderId="0" xfId="0" applyFont="1" applyFill="1" applyAlignment="1">
      <alignment horizontal="center" vertical="center"/>
    </xf>
    <xf numFmtId="0" fontId="18" fillId="26" borderId="11" xfId="0" applyFont="1" applyFill="1" applyBorder="1" applyAlignment="1">
      <alignment horizontal="right"/>
    </xf>
    <xf numFmtId="0" fontId="18" fillId="26" borderId="11" xfId="0" applyFont="1" applyFill="1" applyBorder="1" applyAlignment="1">
      <alignment horizontal="left"/>
    </xf>
    <xf numFmtId="0" fontId="42" fillId="26" borderId="0" xfId="0" applyFont="1" applyFill="1"/>
    <xf numFmtId="0" fontId="39" fillId="25" borderId="13" xfId="0" applyFont="1" applyFill="1" applyBorder="1" applyAlignment="1">
      <alignment horizontal="right"/>
    </xf>
    <xf numFmtId="0" fontId="44" fillId="0" borderId="10" xfId="100" applyFont="1" applyBorder="1" applyAlignment="1">
      <alignment horizontal="right"/>
    </xf>
    <xf numFmtId="0" fontId="46" fillId="0" borderId="10" xfId="100" applyFont="1" applyBorder="1" applyAlignment="1">
      <alignment horizontal="right"/>
    </xf>
    <xf numFmtId="2" fontId="19" fillId="0" borderId="0" xfId="98" applyNumberFormat="1"/>
    <xf numFmtId="0" fontId="38" fillId="25" borderId="14" xfId="0" applyFont="1" applyFill="1" applyBorder="1" applyAlignment="1">
      <alignment horizontal="right" textRotation="90" wrapText="1"/>
    </xf>
    <xf numFmtId="0" fontId="18" fillId="26" borderId="0" xfId="0" applyFont="1" applyFill="1" applyAlignment="1">
      <alignment horizontal="right"/>
    </xf>
    <xf numFmtId="0" fontId="19" fillId="0" borderId="0" xfId="98"/>
    <xf numFmtId="0" fontId="40" fillId="26" borderId="0" xfId="0" applyFont="1" applyFill="1" applyAlignment="1">
      <alignment horizontal="right"/>
    </xf>
    <xf numFmtId="0" fontId="18" fillId="26" borderId="12" xfId="0" applyFont="1" applyFill="1" applyBorder="1"/>
    <xf numFmtId="0" fontId="17" fillId="26" borderId="14" xfId="0" applyFont="1" applyFill="1" applyBorder="1" applyAlignment="1">
      <alignment horizontal="right" textRotation="90" wrapText="1"/>
    </xf>
    <xf numFmtId="4" fontId="18" fillId="26" borderId="15" xfId="0" applyNumberFormat="1" applyFont="1" applyFill="1" applyBorder="1" applyAlignment="1">
      <alignment horizontal="right"/>
    </xf>
    <xf numFmtId="0" fontId="18" fillId="26" borderId="15" xfId="0" applyFont="1" applyFill="1" applyBorder="1" applyAlignment="1">
      <alignment horizontal="right"/>
    </xf>
    <xf numFmtId="0" fontId="44" fillId="0" borderId="0" xfId="0" applyFont="1" applyAlignment="1">
      <alignment horizontal="center" vertical="center" wrapText="1"/>
    </xf>
    <xf numFmtId="0" fontId="51" fillId="28" borderId="18" xfId="0" applyFont="1" applyFill="1" applyBorder="1" applyAlignment="1">
      <alignment horizontal="center" vertical="center" wrapText="1"/>
    </xf>
    <xf numFmtId="0" fontId="51" fillId="29" borderId="20" xfId="0" applyFont="1" applyFill="1" applyBorder="1" applyAlignment="1">
      <alignment horizontal="center" vertical="center" wrapText="1"/>
    </xf>
    <xf numFmtId="0" fontId="0" fillId="29" borderId="21" xfId="0" applyFill="1" applyBorder="1"/>
    <xf numFmtId="0" fontId="52" fillId="0" borderId="16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28" borderId="18" xfId="0" applyFont="1" applyFill="1" applyBorder="1" applyAlignment="1">
      <alignment horizontal="center" vertical="center" wrapText="1"/>
    </xf>
    <xf numFmtId="0" fontId="44" fillId="29" borderId="19" xfId="0" applyFont="1" applyFill="1" applyBorder="1" applyAlignment="1">
      <alignment horizontal="center" vertical="center" wrapText="1"/>
    </xf>
    <xf numFmtId="0" fontId="44" fillId="29" borderId="23" xfId="0" applyFont="1" applyFill="1" applyBorder="1" applyAlignment="1">
      <alignment horizontal="center" vertical="center" wrapText="1"/>
    </xf>
    <xf numFmtId="0" fontId="44" fillId="29" borderId="24" xfId="0" applyFont="1" applyFill="1" applyBorder="1" applyAlignment="1">
      <alignment horizontal="center" vertical="center" wrapText="1"/>
    </xf>
    <xf numFmtId="0" fontId="50" fillId="29" borderId="25" xfId="0" applyFont="1" applyFill="1" applyBorder="1" applyAlignment="1">
      <alignment vertical="center" wrapText="1"/>
    </xf>
    <xf numFmtId="0" fontId="53" fillId="0" borderId="26" xfId="0" applyFont="1" applyBorder="1" applyAlignment="1">
      <alignment horizontal="center" vertical="center" wrapText="1"/>
    </xf>
    <xf numFmtId="0" fontId="50" fillId="30" borderId="26" xfId="0" applyFont="1" applyFill="1" applyBorder="1" applyAlignment="1">
      <alignment horizontal="center" vertical="center" wrapText="1"/>
    </xf>
    <xf numFmtId="0" fontId="19" fillId="0" borderId="27" xfId="2" applyBorder="1"/>
    <xf numFmtId="44" fontId="19" fillId="0" borderId="28" xfId="109" applyFont="1" applyFill="1" applyBorder="1" applyAlignment="1"/>
    <xf numFmtId="164" fontId="0" fillId="24" borderId="28" xfId="0" applyNumberFormat="1" applyFill="1" applyBorder="1" applyAlignment="1">
      <alignment vertical="center"/>
    </xf>
    <xf numFmtId="10" fontId="0" fillId="24" borderId="28" xfId="0" applyNumberFormat="1" applyFill="1" applyBorder="1" applyAlignment="1">
      <alignment horizontal="center" vertical="center"/>
    </xf>
    <xf numFmtId="164" fontId="52" fillId="24" borderId="28" xfId="0" applyNumberFormat="1" applyFont="1" applyFill="1" applyBorder="1" applyAlignment="1">
      <alignment vertical="center"/>
    </xf>
    <xf numFmtId="164" fontId="45" fillId="0" borderId="28" xfId="0" applyNumberFormat="1" applyFont="1" applyBorder="1" applyAlignment="1">
      <alignment vertical="center"/>
    </xf>
    <xf numFmtId="165" fontId="0" fillId="0" borderId="28" xfId="0" applyNumberFormat="1" applyBorder="1"/>
    <xf numFmtId="165" fontId="0" fillId="0" borderId="0" xfId="0" applyNumberFormat="1"/>
    <xf numFmtId="164" fontId="0" fillId="24" borderId="27" xfId="0" applyNumberFormat="1" applyFill="1" applyBorder="1" applyAlignment="1">
      <alignment vertical="center"/>
    </xf>
    <xf numFmtId="10" fontId="0" fillId="24" borderId="27" xfId="0" applyNumberFormat="1" applyFill="1" applyBorder="1" applyAlignment="1">
      <alignment horizontal="center" vertical="center"/>
    </xf>
    <xf numFmtId="164" fontId="52" fillId="24" borderId="27" xfId="0" applyNumberFormat="1" applyFont="1" applyFill="1" applyBorder="1" applyAlignment="1">
      <alignment vertical="center"/>
    </xf>
    <xf numFmtId="165" fontId="0" fillId="0" borderId="27" xfId="0" applyNumberFormat="1" applyBorder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44" fillId="0" borderId="0" xfId="0" applyFont="1" applyAlignment="1">
      <alignment horizontal="right" vertical="center"/>
    </xf>
    <xf numFmtId="164" fontId="44" fillId="0" borderId="0" xfId="0" applyNumberFormat="1" applyFont="1" applyAlignment="1">
      <alignment horizontal="right" vertical="center"/>
    </xf>
    <xf numFmtId="164" fontId="54" fillId="0" borderId="18" xfId="0" applyNumberFormat="1" applyFont="1" applyBorder="1" applyAlignment="1">
      <alignment vertical="center"/>
    </xf>
    <xf numFmtId="0" fontId="19" fillId="0" borderId="0" xfId="0" applyFont="1" applyAlignment="1">
      <alignment horizontal="right"/>
    </xf>
    <xf numFmtId="43" fontId="19" fillId="0" borderId="0" xfId="107" applyFont="1" applyFill="1" applyAlignment="1">
      <alignment vertical="center"/>
    </xf>
    <xf numFmtId="0" fontId="2" fillId="0" borderId="0" xfId="110"/>
    <xf numFmtId="0" fontId="55" fillId="0" borderId="0" xfId="0" applyFont="1" applyAlignment="1">
      <alignment horizontal="center" vertical="center"/>
    </xf>
    <xf numFmtId="0" fontId="19" fillId="0" borderId="18" xfId="0" applyFont="1" applyBorder="1" applyAlignment="1">
      <alignment vertical="center"/>
    </xf>
    <xf numFmtId="0" fontId="46" fillId="0" borderId="18" xfId="0" applyFont="1" applyBorder="1" applyAlignment="1">
      <alignment horizontal="center" vertical="center"/>
    </xf>
    <xf numFmtId="0" fontId="44" fillId="0" borderId="1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4" fillId="0" borderId="0" xfId="0" applyFont="1"/>
    <xf numFmtId="0" fontId="19" fillId="0" borderId="29" xfId="2" applyBorder="1"/>
    <xf numFmtId="2" fontId="46" fillId="0" borderId="28" xfId="0" applyNumberFormat="1" applyFont="1" applyBorder="1" applyAlignment="1">
      <alignment horizontal="center" vertical="center"/>
    </xf>
    <xf numFmtId="1" fontId="44" fillId="0" borderId="28" xfId="0" applyNumberFormat="1" applyFon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10" fontId="50" fillId="0" borderId="30" xfId="0" applyNumberFormat="1" applyFont="1" applyBorder="1" applyAlignment="1">
      <alignment horizontal="center" vertical="center"/>
    </xf>
    <xf numFmtId="10" fontId="50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46" fillId="0" borderId="27" xfId="0" applyNumberFormat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50" fillId="24" borderId="18" xfId="110" applyFont="1" applyFill="1" applyBorder="1" applyAlignment="1">
      <alignment vertical="top" wrapText="1"/>
    </xf>
    <xf numFmtId="0" fontId="50" fillId="0" borderId="0" xfId="110" applyFont="1" applyAlignment="1">
      <alignment vertical="top" wrapText="1"/>
    </xf>
    <xf numFmtId="0" fontId="2" fillId="0" borderId="0" xfId="110" applyAlignment="1">
      <alignment horizontal="left" vertical="top" wrapText="1"/>
    </xf>
    <xf numFmtId="2" fontId="45" fillId="0" borderId="0" xfId="0" applyNumberFormat="1" applyFont="1"/>
    <xf numFmtId="2" fontId="18" fillId="26" borderId="11" xfId="0" applyNumberFormat="1" applyFont="1" applyFill="1" applyBorder="1"/>
    <xf numFmtId="2" fontId="0" fillId="0" borderId="0" xfId="0" applyNumberFormat="1"/>
    <xf numFmtId="0" fontId="0" fillId="24" borderId="18" xfId="0" applyFill="1" applyBorder="1"/>
    <xf numFmtId="164" fontId="44" fillId="24" borderId="18" xfId="0" applyNumberFormat="1" applyFont="1" applyFill="1" applyBorder="1" applyAlignment="1">
      <alignment vertical="center"/>
    </xf>
    <xf numFmtId="0" fontId="18" fillId="29" borderId="11" xfId="0" applyFont="1" applyFill="1" applyBorder="1" applyAlignment="1">
      <alignment horizontal="left"/>
    </xf>
    <xf numFmtId="2" fontId="18" fillId="29" borderId="11" xfId="0" applyNumberFormat="1" applyFont="1" applyFill="1" applyBorder="1"/>
    <xf numFmtId="4" fontId="18" fillId="29" borderId="13" xfId="0" applyNumberFormat="1" applyFont="1" applyFill="1" applyBorder="1" applyAlignment="1">
      <alignment horizontal="right"/>
    </xf>
    <xf numFmtId="0" fontId="18" fillId="29" borderId="11" xfId="0" applyFont="1" applyFill="1" applyBorder="1"/>
    <xf numFmtId="0" fontId="18" fillId="29" borderId="11" xfId="0" applyFont="1" applyFill="1" applyBorder="1" applyAlignment="1">
      <alignment horizontal="right"/>
    </xf>
    <xf numFmtId="0" fontId="18" fillId="29" borderId="13" xfId="0" applyFont="1" applyFill="1" applyBorder="1" applyAlignment="1">
      <alignment horizontal="right"/>
    </xf>
    <xf numFmtId="0" fontId="47" fillId="29" borderId="13" xfId="101" applyFill="1" applyBorder="1" applyAlignment="1">
      <alignment horizontal="right"/>
    </xf>
    <xf numFmtId="0" fontId="18" fillId="29" borderId="0" xfId="0" applyFont="1" applyFill="1"/>
    <xf numFmtId="0" fontId="44" fillId="0" borderId="0" xfId="98" applyFont="1" applyAlignment="1">
      <alignment horizontal="left"/>
    </xf>
    <xf numFmtId="0" fontId="43" fillId="0" borderId="10" xfId="100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1" fillId="29" borderId="19" xfId="0" applyFont="1" applyFill="1" applyBorder="1" applyAlignment="1">
      <alignment horizontal="center" vertical="center" wrapText="1"/>
    </xf>
    <xf numFmtId="0" fontId="51" fillId="29" borderId="20" xfId="0" applyFont="1" applyFill="1" applyBorder="1" applyAlignment="1">
      <alignment horizontal="center" vertical="center" wrapText="1"/>
    </xf>
    <xf numFmtId="0" fontId="55" fillId="0" borderId="19" xfId="0" applyFont="1" applyBorder="1" applyAlignment="1">
      <alignment horizontal="center" vertical="center"/>
    </xf>
    <xf numFmtId="0" fontId="55" fillId="0" borderId="20" xfId="0" applyFont="1" applyBorder="1" applyAlignment="1">
      <alignment horizontal="center" vertical="center"/>
    </xf>
    <xf numFmtId="0" fontId="55" fillId="0" borderId="21" xfId="0" applyFont="1" applyBorder="1" applyAlignment="1">
      <alignment horizontal="center" vertical="center"/>
    </xf>
    <xf numFmtId="0" fontId="40" fillId="26" borderId="0" xfId="0" applyFont="1" applyFill="1" applyAlignment="1">
      <alignment horizontal="left"/>
    </xf>
    <xf numFmtId="0" fontId="40" fillId="26" borderId="0" xfId="0" applyFont="1" applyFill="1" applyAlignment="1">
      <alignment horizontal="right"/>
    </xf>
  </cellXfs>
  <cellStyles count="114">
    <cellStyle name="20% - Accent1 2" xfId="48" xr:uid="{00000000-0005-0000-0000-000000000000}"/>
    <cellStyle name="20% - Accent1 3" xfId="6" xr:uid="{00000000-0005-0000-0000-000001000000}"/>
    <cellStyle name="20% - Accent2 2" xfId="49" xr:uid="{00000000-0005-0000-0000-000002000000}"/>
    <cellStyle name="20% - Accent2 3" xfId="7" xr:uid="{00000000-0005-0000-0000-000003000000}"/>
    <cellStyle name="20% - Accent3 2" xfId="50" xr:uid="{00000000-0005-0000-0000-000004000000}"/>
    <cellStyle name="20% - Accent3 3" xfId="8" xr:uid="{00000000-0005-0000-0000-000005000000}"/>
    <cellStyle name="20% - Accent4 2" xfId="51" xr:uid="{00000000-0005-0000-0000-000006000000}"/>
    <cellStyle name="20% - Accent4 3" xfId="9" xr:uid="{00000000-0005-0000-0000-000007000000}"/>
    <cellStyle name="20% - Accent5 2" xfId="52" xr:uid="{00000000-0005-0000-0000-000008000000}"/>
    <cellStyle name="20% - Accent5 3" xfId="10" xr:uid="{00000000-0005-0000-0000-000009000000}"/>
    <cellStyle name="20% - Accent6 2" xfId="53" xr:uid="{00000000-0005-0000-0000-00000A000000}"/>
    <cellStyle name="20% - Accent6 3" xfId="11" xr:uid="{00000000-0005-0000-0000-00000B000000}"/>
    <cellStyle name="40% - Accent1 2" xfId="54" xr:uid="{00000000-0005-0000-0000-00000C000000}"/>
    <cellStyle name="40% - Accent1 3" xfId="12" xr:uid="{00000000-0005-0000-0000-00000D000000}"/>
    <cellStyle name="40% - Accent2 2" xfId="55" xr:uid="{00000000-0005-0000-0000-00000E000000}"/>
    <cellStyle name="40% - Accent2 3" xfId="13" xr:uid="{00000000-0005-0000-0000-00000F000000}"/>
    <cellStyle name="40% - Accent3 2" xfId="56" xr:uid="{00000000-0005-0000-0000-000010000000}"/>
    <cellStyle name="40% - Accent3 3" xfId="14" xr:uid="{00000000-0005-0000-0000-000011000000}"/>
    <cellStyle name="40% - Accent4 2" xfId="57" xr:uid="{00000000-0005-0000-0000-000012000000}"/>
    <cellStyle name="40% - Accent4 3" xfId="15" xr:uid="{00000000-0005-0000-0000-000013000000}"/>
    <cellStyle name="40% - Accent5 2" xfId="58" xr:uid="{00000000-0005-0000-0000-000014000000}"/>
    <cellStyle name="40% - Accent5 3" xfId="16" xr:uid="{00000000-0005-0000-0000-000015000000}"/>
    <cellStyle name="40% - Accent6 2" xfId="59" xr:uid="{00000000-0005-0000-0000-000016000000}"/>
    <cellStyle name="40% - Accent6 3" xfId="17" xr:uid="{00000000-0005-0000-0000-000017000000}"/>
    <cellStyle name="60% - Accent1 2" xfId="60" xr:uid="{00000000-0005-0000-0000-000018000000}"/>
    <cellStyle name="60% - Accent1 3" xfId="18" xr:uid="{00000000-0005-0000-0000-000019000000}"/>
    <cellStyle name="60% - Accent2 2" xfId="61" xr:uid="{00000000-0005-0000-0000-00001A000000}"/>
    <cellStyle name="60% - Accent2 3" xfId="19" xr:uid="{00000000-0005-0000-0000-00001B000000}"/>
    <cellStyle name="60% - Accent3 2" xfId="62" xr:uid="{00000000-0005-0000-0000-00001C000000}"/>
    <cellStyle name="60% - Accent3 3" xfId="20" xr:uid="{00000000-0005-0000-0000-00001D000000}"/>
    <cellStyle name="60% - Accent4 2" xfId="63" xr:uid="{00000000-0005-0000-0000-00001E000000}"/>
    <cellStyle name="60% - Accent4 3" xfId="21" xr:uid="{00000000-0005-0000-0000-00001F000000}"/>
    <cellStyle name="60% - Accent5 2" xfId="64" xr:uid="{00000000-0005-0000-0000-000020000000}"/>
    <cellStyle name="60% - Accent5 3" xfId="22" xr:uid="{00000000-0005-0000-0000-000021000000}"/>
    <cellStyle name="60% - Accent6 2" xfId="65" xr:uid="{00000000-0005-0000-0000-000022000000}"/>
    <cellStyle name="60% - Accent6 3" xfId="23" xr:uid="{00000000-0005-0000-0000-000023000000}"/>
    <cellStyle name="Accent1 2" xfId="66" xr:uid="{00000000-0005-0000-0000-000024000000}"/>
    <cellStyle name="Accent1 3" xfId="24" xr:uid="{00000000-0005-0000-0000-000025000000}"/>
    <cellStyle name="Accent2 2" xfId="67" xr:uid="{00000000-0005-0000-0000-000026000000}"/>
    <cellStyle name="Accent2 3" xfId="25" xr:uid="{00000000-0005-0000-0000-000027000000}"/>
    <cellStyle name="Accent3 2" xfId="68" xr:uid="{00000000-0005-0000-0000-000028000000}"/>
    <cellStyle name="Accent3 3" xfId="26" xr:uid="{00000000-0005-0000-0000-000029000000}"/>
    <cellStyle name="Accent4 2" xfId="69" xr:uid="{00000000-0005-0000-0000-00002A000000}"/>
    <cellStyle name="Accent4 3" xfId="27" xr:uid="{00000000-0005-0000-0000-00002B000000}"/>
    <cellStyle name="Accent5 2" xfId="70" xr:uid="{00000000-0005-0000-0000-00002C000000}"/>
    <cellStyle name="Accent5 3" xfId="28" xr:uid="{00000000-0005-0000-0000-00002D000000}"/>
    <cellStyle name="Accent6 2" xfId="71" xr:uid="{00000000-0005-0000-0000-00002E000000}"/>
    <cellStyle name="Accent6 3" xfId="29" xr:uid="{00000000-0005-0000-0000-00002F000000}"/>
    <cellStyle name="Bad 2" xfId="72" xr:uid="{00000000-0005-0000-0000-000030000000}"/>
    <cellStyle name="Bad 3" xfId="30" xr:uid="{00000000-0005-0000-0000-000031000000}"/>
    <cellStyle name="Calculation 2" xfId="73" xr:uid="{00000000-0005-0000-0000-000032000000}"/>
    <cellStyle name="Calculation 3" xfId="31" xr:uid="{00000000-0005-0000-0000-000033000000}"/>
    <cellStyle name="Check Cell 2" xfId="74" xr:uid="{00000000-0005-0000-0000-000034000000}"/>
    <cellStyle name="Check Cell 3" xfId="32" xr:uid="{00000000-0005-0000-0000-000035000000}"/>
    <cellStyle name="Comma 2" xfId="107" xr:uid="{00000000-0005-0000-0000-000036000000}"/>
    <cellStyle name="Currency 2" xfId="1" xr:uid="{00000000-0005-0000-0000-000037000000}"/>
    <cellStyle name="Currency 3" xfId="109" xr:uid="{00000000-0005-0000-0000-000038000000}"/>
    <cellStyle name="Explanatory Text 2" xfId="75" xr:uid="{00000000-0005-0000-0000-000039000000}"/>
    <cellStyle name="Explanatory Text 3" xfId="33" xr:uid="{00000000-0005-0000-0000-00003A000000}"/>
    <cellStyle name="Good" xfId="101" builtinId="26"/>
    <cellStyle name="Good 2" xfId="76" xr:uid="{00000000-0005-0000-0000-00003C000000}"/>
    <cellStyle name="Good 3" xfId="34" xr:uid="{00000000-0005-0000-0000-00003D000000}"/>
    <cellStyle name="Heading 1 2" xfId="77" xr:uid="{00000000-0005-0000-0000-00003E000000}"/>
    <cellStyle name="Heading 1 3" xfId="35" xr:uid="{00000000-0005-0000-0000-00003F000000}"/>
    <cellStyle name="Heading 2 2" xfId="78" xr:uid="{00000000-0005-0000-0000-000040000000}"/>
    <cellStyle name="Heading 2 3" xfId="36" xr:uid="{00000000-0005-0000-0000-000041000000}"/>
    <cellStyle name="Heading 3 2" xfId="79" xr:uid="{00000000-0005-0000-0000-000042000000}"/>
    <cellStyle name="Heading 3 3" xfId="37" xr:uid="{00000000-0005-0000-0000-000043000000}"/>
    <cellStyle name="Heading 4 2" xfId="80" xr:uid="{00000000-0005-0000-0000-000044000000}"/>
    <cellStyle name="Heading 4 3" xfId="38" xr:uid="{00000000-0005-0000-0000-000045000000}"/>
    <cellStyle name="Input 2" xfId="81" xr:uid="{00000000-0005-0000-0000-000046000000}"/>
    <cellStyle name="Input 3" xfId="39" xr:uid="{00000000-0005-0000-0000-000047000000}"/>
    <cellStyle name="Linked Cell 2" xfId="82" xr:uid="{00000000-0005-0000-0000-000048000000}"/>
    <cellStyle name="Linked Cell 3" xfId="40" xr:uid="{00000000-0005-0000-0000-000049000000}"/>
    <cellStyle name="Neutral 2" xfId="83" xr:uid="{00000000-0005-0000-0000-00004A000000}"/>
    <cellStyle name="Neutral 3" xfId="41" xr:uid="{00000000-0005-0000-0000-00004B000000}"/>
    <cellStyle name="Normal" xfId="0" builtinId="0"/>
    <cellStyle name="Normal 2" xfId="2" xr:uid="{00000000-0005-0000-0000-00004D000000}"/>
    <cellStyle name="Normal 3" xfId="3" xr:uid="{00000000-0005-0000-0000-00004E000000}"/>
    <cellStyle name="Normal 3 2" xfId="88" xr:uid="{00000000-0005-0000-0000-00004F000000}"/>
    <cellStyle name="Normal 3 3" xfId="97" xr:uid="{00000000-0005-0000-0000-000050000000}"/>
    <cellStyle name="Normal 3 3 2" xfId="108" xr:uid="{00000000-0005-0000-0000-000051000000}"/>
    <cellStyle name="Normal 3 4" xfId="106" xr:uid="{00000000-0005-0000-0000-000052000000}"/>
    <cellStyle name="Normal 3 5" xfId="110" xr:uid="{00000000-0005-0000-0000-000053000000}"/>
    <cellStyle name="Normal 4" xfId="4" xr:uid="{00000000-0005-0000-0000-000054000000}"/>
    <cellStyle name="Normal 4 10" xfId="100" xr:uid="{00000000-0005-0000-0000-000055000000}"/>
    <cellStyle name="Normal 4 11" xfId="103" xr:uid="{00000000-0005-0000-0000-000056000000}"/>
    <cellStyle name="Normal 4 12" xfId="105" xr:uid="{00000000-0005-0000-0000-000057000000}"/>
    <cellStyle name="Normal 4 13" xfId="112" xr:uid="{00000000-0005-0000-0000-00004C000000}"/>
    <cellStyle name="Normal 4 2" xfId="47" xr:uid="{00000000-0005-0000-0000-000058000000}"/>
    <cellStyle name="Normal 4 3" xfId="90" xr:uid="{00000000-0005-0000-0000-000059000000}"/>
    <cellStyle name="Normal 4 4" xfId="91" xr:uid="{00000000-0005-0000-0000-00005A000000}"/>
    <cellStyle name="Normal 4 5" xfId="92" xr:uid="{00000000-0005-0000-0000-00005B000000}"/>
    <cellStyle name="Normal 4 6" xfId="93" xr:uid="{00000000-0005-0000-0000-00005C000000}"/>
    <cellStyle name="Normal 4 7" xfId="94" xr:uid="{00000000-0005-0000-0000-00005D000000}"/>
    <cellStyle name="Normal 4 8" xfId="95" xr:uid="{00000000-0005-0000-0000-00005E000000}"/>
    <cellStyle name="Normal 4 9" xfId="96" xr:uid="{00000000-0005-0000-0000-00005F000000}"/>
    <cellStyle name="Normal 5" xfId="98" xr:uid="{00000000-0005-0000-0000-000060000000}"/>
    <cellStyle name="Normal 6" xfId="102" xr:uid="{00000000-0005-0000-0000-000061000000}"/>
    <cellStyle name="Normal 7" xfId="104" xr:uid="{00000000-0005-0000-0000-000062000000}"/>
    <cellStyle name="Normal 8" xfId="111" xr:uid="{00000000-0005-0000-0000-00009D000000}"/>
    <cellStyle name="Note 2" xfId="5" xr:uid="{00000000-0005-0000-0000-000063000000}"/>
    <cellStyle name="Note 3" xfId="89" xr:uid="{00000000-0005-0000-0000-000064000000}"/>
    <cellStyle name="Note 4" xfId="42" xr:uid="{00000000-0005-0000-0000-000065000000}"/>
    <cellStyle name="Note 4 2" xfId="99" xr:uid="{00000000-0005-0000-0000-000066000000}"/>
    <cellStyle name="Output 2" xfId="84" xr:uid="{00000000-0005-0000-0000-000067000000}"/>
    <cellStyle name="Output 3" xfId="43" xr:uid="{00000000-0005-0000-0000-000068000000}"/>
    <cellStyle name="Percent 2" xfId="113" xr:uid="{00000000-0005-0000-0000-00009F000000}"/>
    <cellStyle name="Title 2" xfId="85" xr:uid="{00000000-0005-0000-0000-000069000000}"/>
    <cellStyle name="Title 3" xfId="44" xr:uid="{00000000-0005-0000-0000-00006A000000}"/>
    <cellStyle name="Total 2" xfId="86" xr:uid="{00000000-0005-0000-0000-00006B000000}"/>
    <cellStyle name="Total 3" xfId="45" xr:uid="{00000000-0005-0000-0000-00006C000000}"/>
    <cellStyle name="Warning Text 2" xfId="87" xr:uid="{00000000-0005-0000-0000-00006D000000}"/>
    <cellStyle name="Warning Text 3" xfId="46" xr:uid="{00000000-0005-0000-0000-00006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workbookViewId="0">
      <selection activeCell="I15" sqref="I15"/>
    </sheetView>
  </sheetViews>
  <sheetFormatPr defaultRowHeight="12.75" x14ac:dyDescent="0.2"/>
  <cols>
    <col min="1" max="3" width="9.42578125" customWidth="1"/>
    <col min="4" max="8" width="8.85546875" customWidth="1"/>
    <col min="9" max="9" width="12.140625" customWidth="1"/>
    <col min="10" max="10" width="15" bestFit="1" customWidth="1"/>
    <col min="11" max="11" width="12.42578125" bestFit="1" customWidth="1"/>
  </cols>
  <sheetData>
    <row r="1" spans="1:11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  <c r="J1" s="1"/>
      <c r="K1" s="1"/>
    </row>
    <row r="2" spans="1:11" ht="15.75" x14ac:dyDescent="0.25">
      <c r="A2" s="1"/>
    </row>
    <row r="3" spans="1:11" s="2" customFormat="1" x14ac:dyDescent="0.2">
      <c r="A3" s="94"/>
      <c r="B3" s="94"/>
      <c r="C3" s="94"/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42</v>
      </c>
      <c r="J3" s="16" t="s">
        <v>43</v>
      </c>
      <c r="K3" s="17" t="s">
        <v>37</v>
      </c>
    </row>
    <row r="4" spans="1:11" x14ac:dyDescent="0.2">
      <c r="A4" s="93" t="s">
        <v>38</v>
      </c>
      <c r="B4" s="93"/>
      <c r="C4" s="93"/>
      <c r="D4" s="21">
        <v>4.5</v>
      </c>
      <c r="E4" s="21">
        <v>13.799999999999999</v>
      </c>
      <c r="F4" s="21">
        <v>12.600000000000001</v>
      </c>
      <c r="G4" s="21">
        <v>12.899999999999999</v>
      </c>
      <c r="H4" s="21">
        <v>9</v>
      </c>
      <c r="I4" s="82">
        <f>HUB!K4</f>
        <v>10</v>
      </c>
      <c r="J4" s="18">
        <f>'Cost Summary'!B13</f>
        <v>25.22394202527915</v>
      </c>
      <c r="K4" s="80">
        <f>SUM(D4:J4)</f>
        <v>88.023942025279155</v>
      </c>
    </row>
    <row r="5" spans="1:11" x14ac:dyDescent="0.2">
      <c r="A5" s="93" t="s">
        <v>39</v>
      </c>
      <c r="B5" s="93"/>
      <c r="C5" s="93"/>
      <c r="D5" s="21">
        <v>3.8</v>
      </c>
      <c r="E5" s="21">
        <v>11.7</v>
      </c>
      <c r="F5" s="21">
        <v>12</v>
      </c>
      <c r="G5" s="21">
        <v>12.299999999999999</v>
      </c>
      <c r="H5" s="21">
        <v>8</v>
      </c>
      <c r="I5" s="82">
        <f>HUB!K5</f>
        <v>10</v>
      </c>
      <c r="J5" s="18">
        <f>'Cost Summary'!B14</f>
        <v>30</v>
      </c>
      <c r="K5" s="80">
        <f>SUM(D5:J5)</f>
        <v>87.8</v>
      </c>
    </row>
    <row r="6" spans="1:11" x14ac:dyDescent="0.2">
      <c r="A6" s="93" t="s">
        <v>40</v>
      </c>
      <c r="B6" s="93"/>
      <c r="C6" s="93"/>
      <c r="D6" s="21">
        <v>4.5</v>
      </c>
      <c r="E6" s="21">
        <v>12.899999999999999</v>
      </c>
      <c r="F6" s="21">
        <v>12.899999999999999</v>
      </c>
      <c r="G6" s="21">
        <v>12.299999999999999</v>
      </c>
      <c r="H6" s="21">
        <v>9</v>
      </c>
      <c r="I6" s="82">
        <f>HUB!K6</f>
        <v>10</v>
      </c>
      <c r="J6" s="18">
        <f>'Cost Summary'!B15</f>
        <v>23.218702547384165</v>
      </c>
      <c r="K6" s="80">
        <f>SUM(D6:J6)</f>
        <v>84.818702547384163</v>
      </c>
    </row>
  </sheetData>
  <mergeCells count="4">
    <mergeCell ref="A6:C6"/>
    <mergeCell ref="A3:C3"/>
    <mergeCell ref="A4:C4"/>
    <mergeCell ref="A5:C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"/>
  <sheetViews>
    <sheetView workbookViewId="0">
      <selection activeCell="I4" sqref="I4:I6"/>
    </sheetView>
  </sheetViews>
  <sheetFormatPr defaultRowHeight="12.75" x14ac:dyDescent="0.2"/>
  <cols>
    <col min="9" max="10" width="15" bestFit="1" customWidth="1"/>
    <col min="11" max="11" width="14.42578125" bestFit="1" customWidth="1"/>
  </cols>
  <sheetData>
    <row r="1" spans="1:17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7" ht="15.75" x14ac:dyDescent="0.25">
      <c r="A2" s="1"/>
    </row>
    <row r="3" spans="1:17" x14ac:dyDescent="0.2">
      <c r="A3" s="94"/>
      <c r="B3" s="94"/>
      <c r="C3" s="94"/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42</v>
      </c>
      <c r="J3" s="16" t="s">
        <v>43</v>
      </c>
      <c r="K3" s="17" t="s">
        <v>37</v>
      </c>
      <c r="L3" s="2"/>
      <c r="M3" s="2"/>
      <c r="N3" s="2"/>
      <c r="O3" s="2"/>
      <c r="P3" s="2"/>
      <c r="Q3" s="2"/>
    </row>
    <row r="4" spans="1:17" x14ac:dyDescent="0.2">
      <c r="A4" s="93" t="s">
        <v>38</v>
      </c>
      <c r="B4" s="93"/>
      <c r="C4" s="93"/>
      <c r="D4" s="21">
        <v>5</v>
      </c>
      <c r="E4" s="21">
        <v>15</v>
      </c>
      <c r="F4" s="21">
        <v>15</v>
      </c>
      <c r="G4" s="21">
        <v>12</v>
      </c>
      <c r="H4" s="21">
        <v>10</v>
      </c>
      <c r="I4" s="82">
        <f>HUB!K4</f>
        <v>10</v>
      </c>
      <c r="J4" s="18">
        <f>'Cost Summary'!B13</f>
        <v>25.22394202527915</v>
      </c>
      <c r="K4" s="80">
        <f>SUM(D4:J4)</f>
        <v>92.223942025279143</v>
      </c>
    </row>
    <row r="5" spans="1:17" x14ac:dyDescent="0.2">
      <c r="A5" s="93" t="s">
        <v>39</v>
      </c>
      <c r="B5" s="93"/>
      <c r="C5" s="93"/>
      <c r="D5" s="21">
        <v>4.5</v>
      </c>
      <c r="E5" s="21">
        <v>12</v>
      </c>
      <c r="F5" s="21">
        <v>12</v>
      </c>
      <c r="G5" s="21">
        <v>13.5</v>
      </c>
      <c r="H5" s="21">
        <v>8</v>
      </c>
      <c r="I5" s="82">
        <f>HUB!K5</f>
        <v>10</v>
      </c>
      <c r="J5" s="18">
        <f>'Cost Summary'!B14</f>
        <v>30</v>
      </c>
      <c r="K5" s="80">
        <f>SUM(D5:J5)</f>
        <v>90</v>
      </c>
    </row>
    <row r="6" spans="1:17" x14ac:dyDescent="0.2">
      <c r="A6" s="93" t="s">
        <v>40</v>
      </c>
      <c r="B6" s="93"/>
      <c r="C6" s="93"/>
      <c r="D6" s="21">
        <v>5</v>
      </c>
      <c r="E6" s="21">
        <v>15</v>
      </c>
      <c r="F6" s="21">
        <v>12</v>
      </c>
      <c r="G6" s="21">
        <v>12</v>
      </c>
      <c r="H6" s="21">
        <v>9</v>
      </c>
      <c r="I6" s="82">
        <f>HUB!K6</f>
        <v>10</v>
      </c>
      <c r="J6" s="18">
        <f>'Cost Summary'!B15</f>
        <v>23.218702547384165</v>
      </c>
      <c r="K6" s="80">
        <f>SUM(D6:J6)</f>
        <v>86.218702547384169</v>
      </c>
    </row>
  </sheetData>
  <mergeCells count="4">
    <mergeCell ref="A6:C6"/>
    <mergeCell ref="A3:C3"/>
    <mergeCell ref="A4:C4"/>
    <mergeCell ref="A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"/>
  <sheetViews>
    <sheetView workbookViewId="0">
      <selection activeCell="I4" sqref="I4:I6"/>
    </sheetView>
  </sheetViews>
  <sheetFormatPr defaultRowHeight="12.75" x14ac:dyDescent="0.2"/>
  <cols>
    <col min="9" max="10" width="15" bestFit="1" customWidth="1"/>
    <col min="11" max="11" width="14.42578125" bestFit="1" customWidth="1"/>
  </cols>
  <sheetData>
    <row r="1" spans="1:17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7" ht="15.75" x14ac:dyDescent="0.25">
      <c r="A2" s="1"/>
    </row>
    <row r="3" spans="1:17" x14ac:dyDescent="0.2">
      <c r="A3" s="94"/>
      <c r="B3" s="94"/>
      <c r="C3" s="94"/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42</v>
      </c>
      <c r="J3" s="16" t="s">
        <v>43</v>
      </c>
      <c r="K3" s="17" t="s">
        <v>37</v>
      </c>
      <c r="L3" s="2"/>
      <c r="M3" s="2"/>
      <c r="N3" s="2"/>
      <c r="O3" s="2"/>
      <c r="P3" s="2"/>
      <c r="Q3" s="2"/>
    </row>
    <row r="4" spans="1:17" x14ac:dyDescent="0.2">
      <c r="A4" s="93" t="s">
        <v>38</v>
      </c>
      <c r="B4" s="93"/>
      <c r="C4" s="93"/>
      <c r="D4" s="21">
        <v>5</v>
      </c>
      <c r="E4" s="21">
        <v>15</v>
      </c>
      <c r="F4" s="21">
        <v>14.100000000000001</v>
      </c>
      <c r="G4" s="21">
        <v>14.399999999999999</v>
      </c>
      <c r="H4" s="21">
        <v>9.8000000000000007</v>
      </c>
      <c r="I4" s="82">
        <f>HUB!K4</f>
        <v>10</v>
      </c>
      <c r="J4" s="18">
        <f>'Cost Summary'!B13</f>
        <v>25.22394202527915</v>
      </c>
      <c r="K4" s="80">
        <f>SUM(D4:J4)</f>
        <v>93.523942025279155</v>
      </c>
    </row>
    <row r="5" spans="1:17" x14ac:dyDescent="0.2">
      <c r="A5" s="93" t="s">
        <v>39</v>
      </c>
      <c r="B5" s="93"/>
      <c r="C5" s="93"/>
      <c r="D5" s="21">
        <v>4</v>
      </c>
      <c r="E5" s="21">
        <v>12</v>
      </c>
      <c r="F5" s="21">
        <v>13.200000000000001</v>
      </c>
      <c r="G5" s="21">
        <v>13.200000000000001</v>
      </c>
      <c r="H5" s="21">
        <v>9</v>
      </c>
      <c r="I5" s="82">
        <f>HUB!K5</f>
        <v>10</v>
      </c>
      <c r="J5" s="18">
        <f>'Cost Summary'!B14</f>
        <v>30</v>
      </c>
      <c r="K5" s="80">
        <f>SUM(D5:J5)</f>
        <v>91.4</v>
      </c>
    </row>
    <row r="6" spans="1:17" x14ac:dyDescent="0.2">
      <c r="A6" s="93" t="s">
        <v>40</v>
      </c>
      <c r="B6" s="93"/>
      <c r="C6" s="93"/>
      <c r="D6" s="21">
        <v>4.5</v>
      </c>
      <c r="E6" s="21">
        <v>13.5</v>
      </c>
      <c r="F6" s="21">
        <v>13.5</v>
      </c>
      <c r="G6" s="21">
        <v>13.5</v>
      </c>
      <c r="H6" s="21">
        <v>9</v>
      </c>
      <c r="I6" s="82">
        <f>HUB!K6</f>
        <v>10</v>
      </c>
      <c r="J6" s="18">
        <f>'Cost Summary'!B15</f>
        <v>23.218702547384165</v>
      </c>
      <c r="K6" s="80">
        <f>SUM(D6:J6)</f>
        <v>87.218702547384169</v>
      </c>
    </row>
  </sheetData>
  <mergeCells count="4">
    <mergeCell ref="A6:C6"/>
    <mergeCell ref="A3:C3"/>
    <mergeCell ref="A4:C4"/>
    <mergeCell ref="A5:C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6"/>
  <sheetViews>
    <sheetView workbookViewId="0">
      <selection activeCell="I4" sqref="I4:I6"/>
    </sheetView>
  </sheetViews>
  <sheetFormatPr defaultRowHeight="12.75" x14ac:dyDescent="0.2"/>
  <cols>
    <col min="9" max="10" width="15" bestFit="1" customWidth="1"/>
    <col min="11" max="11" width="14.42578125" bestFit="1" customWidth="1"/>
  </cols>
  <sheetData>
    <row r="1" spans="1:17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7" ht="15.75" x14ac:dyDescent="0.25">
      <c r="A2" s="1"/>
    </row>
    <row r="3" spans="1:17" x14ac:dyDescent="0.2">
      <c r="A3" s="94"/>
      <c r="B3" s="94"/>
      <c r="C3" s="94"/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42</v>
      </c>
      <c r="J3" s="16" t="s">
        <v>43</v>
      </c>
      <c r="K3" s="17" t="s">
        <v>37</v>
      </c>
      <c r="L3" s="2"/>
      <c r="M3" s="2"/>
      <c r="N3" s="2"/>
      <c r="O3" s="2"/>
      <c r="P3" s="2"/>
      <c r="Q3" s="2"/>
    </row>
    <row r="4" spans="1:17" x14ac:dyDescent="0.2">
      <c r="A4" s="93" t="s">
        <v>38</v>
      </c>
      <c r="B4" s="93"/>
      <c r="C4" s="93"/>
      <c r="D4" s="21">
        <v>4.5</v>
      </c>
      <c r="E4" s="21">
        <v>13.5</v>
      </c>
      <c r="F4" s="21">
        <v>12</v>
      </c>
      <c r="G4" s="21">
        <v>13.5</v>
      </c>
      <c r="H4" s="21">
        <v>8</v>
      </c>
      <c r="I4" s="82">
        <f>HUB!K4</f>
        <v>10</v>
      </c>
      <c r="J4" s="18">
        <f>'Cost Summary'!B13</f>
        <v>25.22394202527915</v>
      </c>
      <c r="K4" s="80">
        <f>SUM(D4:J4)</f>
        <v>86.723942025279143</v>
      </c>
    </row>
    <row r="5" spans="1:17" x14ac:dyDescent="0.2">
      <c r="A5" s="93" t="s">
        <v>39</v>
      </c>
      <c r="B5" s="93"/>
      <c r="C5" s="93"/>
      <c r="D5" s="21">
        <v>3.75</v>
      </c>
      <c r="E5" s="21">
        <v>11.25</v>
      </c>
      <c r="F5" s="21">
        <v>12</v>
      </c>
      <c r="G5" s="21">
        <v>11.25</v>
      </c>
      <c r="H5" s="21">
        <v>8</v>
      </c>
      <c r="I5" s="82">
        <f>HUB!K5</f>
        <v>10</v>
      </c>
      <c r="J5" s="18">
        <f>'Cost Summary'!B14</f>
        <v>30</v>
      </c>
      <c r="K5" s="80">
        <f>SUM(D5:J5)</f>
        <v>86.25</v>
      </c>
    </row>
    <row r="6" spans="1:17" x14ac:dyDescent="0.2">
      <c r="A6" s="93" t="s">
        <v>40</v>
      </c>
      <c r="B6" s="93"/>
      <c r="C6" s="93"/>
      <c r="D6" s="21">
        <v>4.5</v>
      </c>
      <c r="E6" s="21">
        <v>12</v>
      </c>
      <c r="F6" s="21">
        <v>12</v>
      </c>
      <c r="G6" s="21">
        <v>13.5</v>
      </c>
      <c r="H6" s="21">
        <v>8</v>
      </c>
      <c r="I6" s="82">
        <f>HUB!K6</f>
        <v>10</v>
      </c>
      <c r="J6" s="18">
        <f>'Cost Summary'!B15</f>
        <v>23.218702547384165</v>
      </c>
      <c r="K6" s="80">
        <f>SUM(D6:J6)</f>
        <v>83.218702547384169</v>
      </c>
    </row>
  </sheetData>
  <mergeCells count="4">
    <mergeCell ref="A6:C6"/>
    <mergeCell ref="A3:C3"/>
    <mergeCell ref="A4:C4"/>
    <mergeCell ref="A5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6"/>
  <sheetViews>
    <sheetView workbookViewId="0">
      <selection activeCell="I4" sqref="I4:I6"/>
    </sheetView>
  </sheetViews>
  <sheetFormatPr defaultRowHeight="12.75" x14ac:dyDescent="0.2"/>
  <cols>
    <col min="9" max="10" width="15" bestFit="1" customWidth="1"/>
    <col min="11" max="11" width="14.42578125" bestFit="1" customWidth="1"/>
  </cols>
  <sheetData>
    <row r="1" spans="1:17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7" ht="15.75" x14ac:dyDescent="0.25">
      <c r="A2" s="1"/>
    </row>
    <row r="3" spans="1:17" x14ac:dyDescent="0.2">
      <c r="A3" s="94"/>
      <c r="B3" s="94"/>
      <c r="C3" s="94"/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42</v>
      </c>
      <c r="J3" s="16" t="s">
        <v>43</v>
      </c>
      <c r="K3" s="17" t="s">
        <v>37</v>
      </c>
      <c r="L3" s="2"/>
      <c r="M3" s="2"/>
      <c r="N3" s="2"/>
      <c r="O3" s="2"/>
      <c r="P3" s="2"/>
      <c r="Q3" s="2"/>
    </row>
    <row r="4" spans="1:17" x14ac:dyDescent="0.2">
      <c r="A4" s="93" t="s">
        <v>38</v>
      </c>
      <c r="B4" s="93"/>
      <c r="C4" s="93"/>
      <c r="D4" s="21">
        <v>4.5</v>
      </c>
      <c r="E4" s="21">
        <v>12.600000000000001</v>
      </c>
      <c r="F4" s="21">
        <v>12.299999999999999</v>
      </c>
      <c r="G4" s="21">
        <v>12</v>
      </c>
      <c r="H4" s="21">
        <v>8</v>
      </c>
      <c r="I4" s="82">
        <f>HUB!K4</f>
        <v>10</v>
      </c>
      <c r="J4" s="18">
        <f>'Cost Summary'!B13</f>
        <v>25.22394202527915</v>
      </c>
      <c r="K4" s="80">
        <f>SUM(D4:J4)</f>
        <v>84.623942025279149</v>
      </c>
    </row>
    <row r="5" spans="1:17" x14ac:dyDescent="0.2">
      <c r="A5" s="93" t="s">
        <v>39</v>
      </c>
      <c r="B5" s="93"/>
      <c r="C5" s="93"/>
      <c r="D5" s="21">
        <v>4</v>
      </c>
      <c r="E5" s="21">
        <v>11.399999999999999</v>
      </c>
      <c r="F5" s="21">
        <v>11.399999999999999</v>
      </c>
      <c r="G5" s="21">
        <v>11.399999999999999</v>
      </c>
      <c r="H5" s="21">
        <v>7.6</v>
      </c>
      <c r="I5" s="82">
        <f>HUB!K5</f>
        <v>10</v>
      </c>
      <c r="J5" s="18">
        <f>'Cost Summary'!B14</f>
        <v>30</v>
      </c>
      <c r="K5" s="80">
        <f>SUM(D5:J5)</f>
        <v>85.8</v>
      </c>
    </row>
    <row r="6" spans="1:17" x14ac:dyDescent="0.2">
      <c r="A6" s="93" t="s">
        <v>40</v>
      </c>
      <c r="B6" s="93"/>
      <c r="C6" s="93"/>
      <c r="D6" s="21">
        <v>4.2</v>
      </c>
      <c r="E6" s="21">
        <v>12</v>
      </c>
      <c r="F6" s="21">
        <v>12</v>
      </c>
      <c r="G6" s="21">
        <v>12</v>
      </c>
      <c r="H6" s="21">
        <v>8</v>
      </c>
      <c r="I6" s="82">
        <f>HUB!K6</f>
        <v>10</v>
      </c>
      <c r="J6" s="18">
        <f>'Cost Summary'!B15</f>
        <v>23.218702547384165</v>
      </c>
      <c r="K6" s="80">
        <f>SUM(D6:J6)</f>
        <v>81.418702547384171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P6"/>
  <sheetViews>
    <sheetView workbookViewId="0">
      <selection activeCell="E40" sqref="E40"/>
    </sheetView>
  </sheetViews>
  <sheetFormatPr defaultRowHeight="12.75" x14ac:dyDescent="0.2"/>
  <cols>
    <col min="9" max="10" width="15" bestFit="1" customWidth="1"/>
    <col min="11" max="11" width="14.42578125" bestFit="1" customWidth="1"/>
  </cols>
  <sheetData>
    <row r="1" spans="1:16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6" ht="15.75" x14ac:dyDescent="0.25">
      <c r="A2" s="1"/>
    </row>
    <row r="3" spans="1:16" x14ac:dyDescent="0.2">
      <c r="A3" s="94"/>
      <c r="B3" s="94"/>
      <c r="C3" s="94"/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42</v>
      </c>
      <c r="J3" s="16" t="s">
        <v>43</v>
      </c>
      <c r="K3" s="17" t="s">
        <v>37</v>
      </c>
      <c r="L3" s="2"/>
      <c r="M3" s="2"/>
      <c r="N3" s="2"/>
      <c r="O3" s="2"/>
      <c r="P3" s="2"/>
    </row>
    <row r="4" spans="1:16" x14ac:dyDescent="0.2">
      <c r="A4" s="93" t="s">
        <v>38</v>
      </c>
      <c r="B4" s="93"/>
      <c r="C4" s="93"/>
      <c r="D4">
        <v>0</v>
      </c>
      <c r="E4" s="21">
        <v>0</v>
      </c>
      <c r="F4" s="21">
        <v>0</v>
      </c>
      <c r="G4" s="21">
        <v>0</v>
      </c>
      <c r="H4" s="21">
        <v>0</v>
      </c>
      <c r="I4" s="18">
        <v>10</v>
      </c>
      <c r="J4" s="21">
        <v>0</v>
      </c>
      <c r="K4" s="80">
        <f>SUM(D4:J4)</f>
        <v>10</v>
      </c>
    </row>
    <row r="5" spans="1:16" x14ac:dyDescent="0.2">
      <c r="A5" s="93" t="s">
        <v>39</v>
      </c>
      <c r="B5" s="93"/>
      <c r="C5" s="93"/>
      <c r="D5">
        <v>0</v>
      </c>
      <c r="E5" s="21">
        <v>0</v>
      </c>
      <c r="F5" s="21">
        <v>0</v>
      </c>
      <c r="G5" s="21">
        <v>0</v>
      </c>
      <c r="H5" s="21">
        <v>0</v>
      </c>
      <c r="I5" s="18">
        <v>10</v>
      </c>
      <c r="J5" s="21">
        <v>0</v>
      </c>
      <c r="K5" s="80">
        <f t="shared" ref="K5:K6" si="0">SUM(D5:J5)</f>
        <v>10</v>
      </c>
    </row>
    <row r="6" spans="1:16" x14ac:dyDescent="0.2">
      <c r="A6" s="93" t="s">
        <v>40</v>
      </c>
      <c r="B6" s="93"/>
      <c r="C6" s="93"/>
      <c r="D6">
        <v>0</v>
      </c>
      <c r="E6" s="21">
        <v>0</v>
      </c>
      <c r="F6" s="21">
        <v>0</v>
      </c>
      <c r="G6" s="21">
        <v>0</v>
      </c>
      <c r="H6" s="21">
        <v>0</v>
      </c>
      <c r="I6" s="18">
        <v>10</v>
      </c>
      <c r="J6" s="21">
        <v>0</v>
      </c>
      <c r="K6" s="80">
        <f t="shared" si="0"/>
        <v>10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M18"/>
  <sheetViews>
    <sheetView tabSelected="1" workbookViewId="0">
      <selection activeCell="C18" sqref="C18"/>
    </sheetView>
  </sheetViews>
  <sheetFormatPr defaultRowHeight="12.75" x14ac:dyDescent="0.2"/>
  <cols>
    <col min="1" max="1" width="33.5703125" customWidth="1"/>
    <col min="2" max="2" width="19.7109375" customWidth="1"/>
    <col min="3" max="3" width="20.85546875" customWidth="1"/>
    <col min="4" max="4" width="20.28515625" customWidth="1"/>
    <col min="5" max="6" width="22.85546875" customWidth="1"/>
    <col min="7" max="7" width="18.140625" customWidth="1"/>
    <col min="8" max="8" width="20.28515625" customWidth="1"/>
    <col min="10" max="10" width="27.85546875" customWidth="1"/>
    <col min="11" max="11" width="14" bestFit="1" customWidth="1"/>
    <col min="12" max="12" width="15" bestFit="1" customWidth="1"/>
    <col min="13" max="13" width="18.42578125" bestFit="1" customWidth="1"/>
    <col min="14" max="14" width="24.5703125" customWidth="1"/>
    <col min="15" max="15" width="19.28515625" customWidth="1"/>
  </cols>
  <sheetData>
    <row r="1" spans="1:13" ht="34.5" customHeight="1" thickBot="1" x14ac:dyDescent="0.25">
      <c r="A1" s="95"/>
      <c r="B1" s="27"/>
      <c r="C1" s="28" t="s">
        <v>19</v>
      </c>
      <c r="D1" s="97" t="s">
        <v>20</v>
      </c>
      <c r="E1" s="98"/>
      <c r="F1" s="29"/>
      <c r="G1" s="30"/>
      <c r="H1" s="31" t="s">
        <v>21</v>
      </c>
    </row>
    <row r="2" spans="1:13" ht="39" customHeight="1" thickBot="1" x14ac:dyDescent="0.25">
      <c r="A2" s="96"/>
      <c r="B2" s="32" t="s">
        <v>22</v>
      </c>
      <c r="C2" s="33" t="s">
        <v>23</v>
      </c>
      <c r="D2" s="34" t="s">
        <v>24</v>
      </c>
      <c r="E2" s="35" t="s">
        <v>25</v>
      </c>
      <c r="F2" s="36" t="s">
        <v>44</v>
      </c>
      <c r="G2" s="37" t="s">
        <v>26</v>
      </c>
      <c r="H2" s="38" t="s">
        <v>27</v>
      </c>
      <c r="J2" s="39" t="s">
        <v>28</v>
      </c>
    </row>
    <row r="3" spans="1:13" ht="15" x14ac:dyDescent="0.2">
      <c r="A3" s="40" t="str">
        <f>'1'!A4:C4</f>
        <v>Vaughn Construction</v>
      </c>
      <c r="B3" s="41">
        <f>J3*D3</f>
        <v>1226182.0194174757</v>
      </c>
      <c r="C3" s="42">
        <v>130000</v>
      </c>
      <c r="D3" s="43">
        <v>0.03</v>
      </c>
      <c r="E3" s="42">
        <v>80463</v>
      </c>
      <c r="F3" s="42">
        <f>E3*F7</f>
        <v>1126482</v>
      </c>
      <c r="G3" s="44">
        <v>744602</v>
      </c>
      <c r="H3" s="45">
        <f>B3+C3+F3+G3</f>
        <v>3227266.0194174759</v>
      </c>
      <c r="J3" s="46">
        <f>(C7-(F3+G3)-C3)/(D3+1)</f>
        <v>40872733.98058252</v>
      </c>
      <c r="K3" s="47"/>
      <c r="L3" s="47"/>
      <c r="M3" s="47"/>
    </row>
    <row r="4" spans="1:13" ht="15" x14ac:dyDescent="0.2">
      <c r="A4" s="40" t="str">
        <f>'1'!A5:C5</f>
        <v>Bartlett Cocke</v>
      </c>
      <c r="B4" s="41">
        <f>J4*D4</f>
        <v>1132057.2692232819</v>
      </c>
      <c r="C4" s="48">
        <v>75000</v>
      </c>
      <c r="D4" s="49">
        <v>2.7400000000000001E-2</v>
      </c>
      <c r="E4" s="48">
        <v>77202</v>
      </c>
      <c r="F4" s="42">
        <f>E4*F7</f>
        <v>1080828</v>
      </c>
      <c r="G4" s="50">
        <v>496156</v>
      </c>
      <c r="H4" s="45">
        <f t="shared" ref="H4:H5" si="0">B4+C4+F4+G4</f>
        <v>2784041.2692232821</v>
      </c>
      <c r="J4" s="51">
        <f>(C7-(F4+G4)-C4)/(D4+1)</f>
        <v>41315958.730776712</v>
      </c>
      <c r="K4" s="47"/>
      <c r="L4" s="47"/>
      <c r="M4" s="47"/>
    </row>
    <row r="5" spans="1:13" ht="15" x14ac:dyDescent="0.2">
      <c r="A5" s="40" t="str">
        <f>'1'!A6:C6</f>
        <v>Turner Construction</v>
      </c>
      <c r="B5" s="41">
        <f>J5*D5</f>
        <v>1249080.0014553217</v>
      </c>
      <c r="C5" s="48">
        <v>97777</v>
      </c>
      <c r="D5" s="49">
        <v>3.0700000000000002E-2</v>
      </c>
      <c r="E5" s="48">
        <v>106657</v>
      </c>
      <c r="F5" s="42">
        <f>E5*F7</f>
        <v>1493198</v>
      </c>
      <c r="G5" s="50">
        <v>573300</v>
      </c>
      <c r="H5" s="45">
        <f t="shared" si="0"/>
        <v>3413355.0014553219</v>
      </c>
      <c r="J5" s="51">
        <f>(C7-(F5+G5)-C5)/(D5+1)</f>
        <v>40686644.998544678</v>
      </c>
      <c r="K5" s="47"/>
      <c r="L5" s="47"/>
      <c r="M5" s="47"/>
    </row>
    <row r="6" spans="1:13" ht="13.5" thickBot="1" x14ac:dyDescent="0.25">
      <c r="A6" s="52"/>
      <c r="B6" s="52"/>
      <c r="C6" s="53"/>
      <c r="D6" s="53"/>
      <c r="E6" s="53"/>
      <c r="F6" s="53"/>
      <c r="G6" s="53"/>
      <c r="H6" s="53"/>
    </row>
    <row r="7" spans="1:13" ht="15.75" thickBot="1" x14ac:dyDescent="0.25">
      <c r="A7" s="52"/>
      <c r="B7" s="54" t="s">
        <v>29</v>
      </c>
      <c r="C7" s="84">
        <v>44100000</v>
      </c>
      <c r="E7" s="55" t="s">
        <v>30</v>
      </c>
      <c r="F7" s="83">
        <v>14</v>
      </c>
      <c r="G7" s="55" t="s">
        <v>31</v>
      </c>
      <c r="H7" s="56">
        <f>MIN(H3:H5)</f>
        <v>2784041.2692232821</v>
      </c>
    </row>
    <row r="8" spans="1:13" x14ac:dyDescent="0.2">
      <c r="B8" s="57"/>
    </row>
    <row r="9" spans="1:13" x14ac:dyDescent="0.2">
      <c r="A9" s="52"/>
      <c r="B9" s="58"/>
      <c r="C9" s="58"/>
      <c r="D9" s="52"/>
      <c r="E9" s="52"/>
      <c r="F9" s="52"/>
      <c r="G9" s="52"/>
    </row>
    <row r="10" spans="1:13" ht="15.75" thickBot="1" x14ac:dyDescent="0.3">
      <c r="A10" s="59" t="s">
        <v>32</v>
      </c>
      <c r="B10" s="59" t="s">
        <v>33</v>
      </c>
      <c r="C10" s="59"/>
      <c r="D10" s="59"/>
      <c r="E10" s="59"/>
      <c r="F10" s="59"/>
      <c r="G10" s="59"/>
      <c r="H10" s="59"/>
    </row>
    <row r="11" spans="1:13" ht="21" thickBot="1" x14ac:dyDescent="0.25">
      <c r="A11" s="99" t="s">
        <v>34</v>
      </c>
      <c r="B11" s="100"/>
      <c r="C11" s="100"/>
      <c r="D11" s="100"/>
      <c r="E11" s="101"/>
      <c r="F11" s="60"/>
      <c r="G11" s="52"/>
      <c r="K11" s="2"/>
    </row>
    <row r="12" spans="1:13" ht="13.5" thickBot="1" x14ac:dyDescent="0.25">
      <c r="A12" s="61"/>
      <c r="B12" s="62" t="s">
        <v>16</v>
      </c>
      <c r="C12" s="63" t="s">
        <v>14</v>
      </c>
      <c r="D12" s="64" t="s">
        <v>35</v>
      </c>
      <c r="E12" s="64" t="s">
        <v>36</v>
      </c>
      <c r="F12" s="65"/>
      <c r="G12" s="66"/>
      <c r="H12" s="67"/>
      <c r="I12" s="2"/>
      <c r="J12" s="2"/>
      <c r="K12" s="2"/>
      <c r="L12" s="67"/>
      <c r="M12" s="2"/>
    </row>
    <row r="13" spans="1:13" ht="15" x14ac:dyDescent="0.2">
      <c r="A13" s="68" t="str">
        <f>A3</f>
        <v>Vaughn Construction</v>
      </c>
      <c r="B13" s="69">
        <f>((1-(H3-H7)/H7)*30)</f>
        <v>25.22394202527915</v>
      </c>
      <c r="C13" s="70">
        <f>RANK(B13,$B$13:$B$15,0)</f>
        <v>2</v>
      </c>
      <c r="D13" s="71">
        <f>$H$7-H3</f>
        <v>-443224.7501941938</v>
      </c>
      <c r="E13" s="72">
        <f>(-D13/$H$7)</f>
        <v>0.159201932490695</v>
      </c>
      <c r="F13" s="73"/>
      <c r="G13" s="74"/>
      <c r="H13" s="2"/>
      <c r="L13" s="67"/>
    </row>
    <row r="14" spans="1:13" ht="15" x14ac:dyDescent="0.2">
      <c r="A14" s="68" t="str">
        <f t="shared" ref="A14:A15" si="1">A4</f>
        <v>Bartlett Cocke</v>
      </c>
      <c r="B14" s="75">
        <f>((1-(H4-H7)/H7)*30)</f>
        <v>30</v>
      </c>
      <c r="C14" s="70">
        <f>RANK(B14,$B$13:$B$15,0)</f>
        <v>1</v>
      </c>
      <c r="D14" s="71">
        <f>$H$7-H4</f>
        <v>0</v>
      </c>
      <c r="E14" s="72">
        <f>(-D14/$H$7)</f>
        <v>0</v>
      </c>
      <c r="F14" s="73"/>
      <c r="G14" s="74"/>
      <c r="H14" s="2"/>
      <c r="L14" s="67"/>
    </row>
    <row r="15" spans="1:13" ht="15" x14ac:dyDescent="0.2">
      <c r="A15" s="68" t="str">
        <f t="shared" si="1"/>
        <v>Turner Construction</v>
      </c>
      <c r="B15" s="75">
        <f>((1-(H5-H7)/H7)*30)</f>
        <v>23.218702547384165</v>
      </c>
      <c r="C15" s="70">
        <f>RANK(B15,$B$13:$B$15,0)</f>
        <v>3</v>
      </c>
      <c r="D15" s="71">
        <f>$H$7-H5</f>
        <v>-629313.73223203979</v>
      </c>
      <c r="E15" s="72">
        <f>(-D15/$H$7)</f>
        <v>0.22604324842052778</v>
      </c>
      <c r="F15" s="73"/>
      <c r="G15" s="76" t="s">
        <v>21</v>
      </c>
      <c r="H15" s="2"/>
      <c r="L15" s="67"/>
    </row>
    <row r="17" spans="6:13" ht="13.5" thickBot="1" x14ac:dyDescent="0.25"/>
    <row r="18" spans="6:13" ht="135.75" customHeight="1" thickBot="1" x14ac:dyDescent="0.25">
      <c r="F18" s="77" t="s">
        <v>41</v>
      </c>
      <c r="H18" s="78"/>
      <c r="J18" s="79"/>
      <c r="K18" s="79"/>
      <c r="L18" s="79"/>
      <c r="M18" s="79"/>
    </row>
  </sheetData>
  <mergeCells count="3">
    <mergeCell ref="A1:A2"/>
    <mergeCell ref="D1:E1"/>
    <mergeCell ref="A11:E1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6"/>
  <sheetViews>
    <sheetView workbookViewId="0">
      <selection activeCell="M17" sqref="M17"/>
    </sheetView>
  </sheetViews>
  <sheetFormatPr defaultRowHeight="15" x14ac:dyDescent="0.2"/>
  <cols>
    <col min="1" max="1" width="33" style="7" customWidth="1"/>
    <col min="2" max="3" width="7" style="7" bestFit="1" customWidth="1"/>
    <col min="4" max="6" width="7.7109375" style="7" customWidth="1"/>
    <col min="7" max="7" width="8.85546875" style="7" customWidth="1"/>
    <col min="8" max="8" width="7.5703125" style="7" customWidth="1"/>
    <col min="9" max="9" width="8.28515625" style="7" customWidth="1"/>
    <col min="10" max="13" width="4.140625" style="7" bestFit="1" customWidth="1"/>
    <col min="14" max="14" width="4.140625" style="7" customWidth="1"/>
    <col min="15" max="15" width="7.140625" style="7" bestFit="1" customWidth="1"/>
    <col min="16" max="16384" width="9.140625" style="7"/>
  </cols>
  <sheetData>
    <row r="1" spans="1:16" ht="15.75" x14ac:dyDescent="0.25">
      <c r="A1" s="5" t="s">
        <v>11</v>
      </c>
      <c r="B1" s="6"/>
      <c r="C1" s="5"/>
      <c r="D1" s="5"/>
      <c r="E1" s="5"/>
      <c r="F1" s="5"/>
      <c r="G1" s="5"/>
      <c r="H1" s="5"/>
    </row>
    <row r="2" spans="1:16" ht="6" customHeight="1" x14ac:dyDescent="0.25">
      <c r="A2" s="5"/>
      <c r="B2" s="6"/>
      <c r="C2" s="5"/>
      <c r="D2" s="5"/>
      <c r="E2" s="5"/>
      <c r="F2" s="5"/>
      <c r="G2" s="5"/>
      <c r="H2" s="5"/>
    </row>
    <row r="3" spans="1:16" ht="15.75" x14ac:dyDescent="0.25">
      <c r="A3" s="102" t="s">
        <v>45</v>
      </c>
      <c r="B3" s="102"/>
      <c r="C3" s="102"/>
      <c r="D3" s="102"/>
      <c r="E3" s="102"/>
      <c r="F3" s="102"/>
      <c r="G3" s="102"/>
      <c r="H3" s="102"/>
    </row>
    <row r="4" spans="1:16" x14ac:dyDescent="0.2">
      <c r="A4" s="6"/>
      <c r="B4" s="6"/>
      <c r="C4" s="6"/>
      <c r="D4" s="6"/>
      <c r="E4" s="6"/>
      <c r="F4" s="6"/>
      <c r="G4" s="6"/>
      <c r="H4" s="6"/>
    </row>
    <row r="5" spans="1:16" ht="15.75" x14ac:dyDescent="0.25">
      <c r="G5" s="22" t="s">
        <v>17</v>
      </c>
      <c r="H5" s="8"/>
      <c r="I5" s="22"/>
      <c r="J5" s="8"/>
      <c r="O5" s="103" t="s">
        <v>14</v>
      </c>
      <c r="P5" s="103"/>
    </row>
    <row r="6" spans="1:16" s="11" customFormat="1" ht="135" customHeight="1" x14ac:dyDescent="0.2">
      <c r="A6" s="9"/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24" t="s">
        <v>15</v>
      </c>
      <c r="I6" s="7"/>
      <c r="J6" s="10" t="str">
        <f>B6</f>
        <v>Evaluator 1</v>
      </c>
      <c r="K6" s="10" t="str">
        <f>C6</f>
        <v>Evaluator 2</v>
      </c>
      <c r="L6" s="10" t="str">
        <f>D6</f>
        <v>Evaluator 3</v>
      </c>
      <c r="M6" s="10" t="str">
        <f>E6</f>
        <v>Evaluator 4</v>
      </c>
      <c r="N6" s="10" t="str">
        <f>F6</f>
        <v>Evaluator 5</v>
      </c>
      <c r="O6" s="24" t="s">
        <v>18</v>
      </c>
      <c r="P6" s="19" t="s">
        <v>13</v>
      </c>
    </row>
    <row r="7" spans="1:16" s="92" customFormat="1" ht="16.5" customHeight="1" x14ac:dyDescent="0.25">
      <c r="A7" s="85" t="str">
        <f>'1'!A4:C4</f>
        <v>Vaughn Construction</v>
      </c>
      <c r="B7" s="86">
        <f>'1'!K4</f>
        <v>88.023942025279155</v>
      </c>
      <c r="C7" s="86">
        <f>'2'!K4</f>
        <v>92.223942025279143</v>
      </c>
      <c r="D7" s="86">
        <f>'3'!K4</f>
        <v>93.523942025279155</v>
      </c>
      <c r="E7" s="86">
        <f>'4'!K4</f>
        <v>86.723942025279143</v>
      </c>
      <c r="F7" s="86">
        <f>'5'!K4</f>
        <v>84.623942025279149</v>
      </c>
      <c r="G7" s="87">
        <f>AVERAGE(B7:F7)</f>
        <v>89.02394202527914</v>
      </c>
      <c r="H7" s="88"/>
      <c r="I7" s="88"/>
      <c r="J7" s="89">
        <f>RANK(B7,$B$7:$B$9,0)</f>
        <v>1</v>
      </c>
      <c r="K7" s="89">
        <f>RANK(C7,$C$7:$C$9,0)</f>
        <v>1</v>
      </c>
      <c r="L7" s="89">
        <f>RANK(D7,$D$7:$D$9,0)</f>
        <v>1</v>
      </c>
      <c r="M7" s="89">
        <f>RANK(E7,$E$7:$E$9,0)</f>
        <v>1</v>
      </c>
      <c r="N7" s="89">
        <f>RANK(F7,$F$7:$F$9,0)</f>
        <v>2</v>
      </c>
      <c r="O7" s="90">
        <f>AVERAGE(J7:N7)</f>
        <v>1.2</v>
      </c>
      <c r="P7" s="91">
        <f>RANK(O7,$O$7:$O$9,1)</f>
        <v>1</v>
      </c>
    </row>
    <row r="8" spans="1:16" ht="16.5" customHeight="1" x14ac:dyDescent="0.2">
      <c r="A8" s="13" t="str">
        <f>'1'!A5:C5</f>
        <v>Bartlett Cocke</v>
      </c>
      <c r="B8" s="81">
        <f>'1'!K5</f>
        <v>87.8</v>
      </c>
      <c r="C8" s="81">
        <f>'2'!K5</f>
        <v>90</v>
      </c>
      <c r="D8" s="81">
        <f>'3'!K5</f>
        <v>91.4</v>
      </c>
      <c r="E8" s="81">
        <f>'4'!K5</f>
        <v>86.25</v>
      </c>
      <c r="F8" s="81">
        <f>'5'!K5</f>
        <v>85.8</v>
      </c>
      <c r="G8" s="25">
        <f>AVERAGE(B8:F8)</f>
        <v>88.250000000000014</v>
      </c>
      <c r="H8" s="23"/>
      <c r="I8" s="23"/>
      <c r="J8" s="12">
        <f>RANK(B8,$B$7:$B$9,0)</f>
        <v>2</v>
      </c>
      <c r="K8" s="12">
        <f>RANK(C8,$C$7:$C$9,0)</f>
        <v>2</v>
      </c>
      <c r="L8" s="12">
        <f>RANK(D8,$D$7:$D$9,0)</f>
        <v>2</v>
      </c>
      <c r="M8" s="12">
        <f>RANK(E8,$E$7:$E$9,0)</f>
        <v>2</v>
      </c>
      <c r="N8" s="12">
        <f>RANK(F8,$F$7:$F$9,0)</f>
        <v>1</v>
      </c>
      <c r="O8" s="26">
        <f>AVERAGE(J8:N8)</f>
        <v>1.8</v>
      </c>
      <c r="P8" s="15">
        <f>RANK(O8,$O$7:$O$9,1)</f>
        <v>2</v>
      </c>
    </row>
    <row r="9" spans="1:16" ht="16.5" customHeight="1" x14ac:dyDescent="0.2">
      <c r="A9" s="13" t="str">
        <f>'1'!A6:C6</f>
        <v>Turner Construction</v>
      </c>
      <c r="B9" s="81">
        <f>'1'!K6</f>
        <v>84.818702547384163</v>
      </c>
      <c r="C9" s="81">
        <f>'2'!K6</f>
        <v>86.218702547384169</v>
      </c>
      <c r="D9" s="81">
        <f>'3'!K6</f>
        <v>87.218702547384169</v>
      </c>
      <c r="E9" s="81">
        <f>'4'!K6</f>
        <v>83.218702547384169</v>
      </c>
      <c r="F9" s="81">
        <f>'5'!K6</f>
        <v>81.418702547384171</v>
      </c>
      <c r="G9" s="25">
        <f>AVERAGE(B9:F9)</f>
        <v>84.578702547384168</v>
      </c>
      <c r="H9" s="23"/>
      <c r="I9" s="23"/>
      <c r="J9" s="12">
        <f>RANK(B9,$B$7:$B$9,0)</f>
        <v>3</v>
      </c>
      <c r="K9" s="12">
        <f>RANK(C9,$C$7:$C$9,0)</f>
        <v>3</v>
      </c>
      <c r="L9" s="12">
        <f>RANK(D9,$D$7:$D$9,0)</f>
        <v>3</v>
      </c>
      <c r="M9" s="12">
        <f>RANK(E9,$E$7:$E$9,0)</f>
        <v>3</v>
      </c>
      <c r="N9" s="12">
        <f>RANK(F9,$F$7:$F$9,0)</f>
        <v>3</v>
      </c>
      <c r="O9" s="26">
        <f>AVERAGE(J9:N9)</f>
        <v>3</v>
      </c>
      <c r="P9" s="15">
        <f>RANK(O9,$O$7:$O$9,1)</f>
        <v>3</v>
      </c>
    </row>
    <row r="10" spans="1:16" x14ac:dyDescent="0.2">
      <c r="I10" s="20"/>
    </row>
    <row r="15" spans="1:16" x14ac:dyDescent="0.2">
      <c r="A15" s="14" t="s">
        <v>12</v>
      </c>
    </row>
    <row r="16" spans="1:16" x14ac:dyDescent="0.2">
      <c r="A16" s="14"/>
    </row>
  </sheetData>
  <mergeCells count="2">
    <mergeCell ref="A3:H3"/>
    <mergeCell ref="O5:P5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</vt:lpstr>
      <vt:lpstr>2</vt:lpstr>
      <vt:lpstr>3</vt:lpstr>
      <vt:lpstr>4</vt:lpstr>
      <vt:lpstr>5</vt:lpstr>
      <vt:lpstr>HUB</vt:lpstr>
      <vt:lpstr>Cost Summary</vt:lpstr>
      <vt:lpstr>Summary</vt:lpstr>
    </vt:vector>
  </TitlesOfParts>
  <Company>University of Houston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Eric Shen</cp:lastModifiedBy>
  <cp:lastPrinted>2013-06-21T21:40:12Z</cp:lastPrinted>
  <dcterms:created xsi:type="dcterms:W3CDTF">2013-06-21T21:38:22Z</dcterms:created>
  <dcterms:modified xsi:type="dcterms:W3CDTF">2023-03-07T16:28:00Z</dcterms:modified>
</cp:coreProperties>
</file>