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3\Formal Solicitation\RFP730-23042 CMAR Guy V Lewis Renovations\Evaluations\"/>
    </mc:Choice>
  </mc:AlternateContent>
  <xr:revisionPtr revIDLastSave="0" documentId="13_ncr:1_{182EAF21-5221-4AE5-9B65-73559C66C043}" xr6:coauthVersionLast="36" xr6:coauthVersionMax="36" xr10:uidLastSave="{00000000-0000-0000-0000-000000000000}"/>
  <bookViews>
    <workbookView xWindow="0" yWindow="0" windowWidth="28800" windowHeight="14235" tabRatio="722" activeTab="6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5" r:id="rId5"/>
    <sheet name="Cost Summary" sheetId="14" r:id="rId6"/>
    <sheet name="Summary" sheetId="1" r:id="rId7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</workbook>
</file>

<file path=xl/calcChain.xml><?xml version="1.0" encoding="utf-8"?>
<calcChain xmlns="http://schemas.openxmlformats.org/spreadsheetml/2006/main">
  <c r="A10" i="1" l="1"/>
  <c r="A11" i="1"/>
  <c r="F7" i="14" l="1"/>
  <c r="F6" i="14"/>
  <c r="F3" i="14"/>
  <c r="F4" i="14"/>
  <c r="F5" i="14"/>
  <c r="J7" i="14" l="1"/>
  <c r="B7" i="14" s="1"/>
  <c r="H7" i="14" s="1"/>
  <c r="J6" i="14"/>
  <c r="B6" i="14" s="1"/>
  <c r="H6" i="14" s="1"/>
  <c r="A4" i="14"/>
  <c r="A5" i="14"/>
  <c r="A6" i="14"/>
  <c r="A18" i="14" s="1"/>
  <c r="A7" i="14"/>
  <c r="A19" i="14" s="1"/>
  <c r="A3" i="14"/>
  <c r="A17" i="14" l="1"/>
  <c r="J5" i="14"/>
  <c r="B5" i="14" s="1"/>
  <c r="H5" i="14" s="1"/>
  <c r="J4" i="14"/>
  <c r="B4" i="14" s="1"/>
  <c r="H4" i="14" s="1"/>
  <c r="A16" i="14"/>
  <c r="J3" i="14"/>
  <c r="B3" i="14" s="1"/>
  <c r="H3" i="14" s="1"/>
  <c r="A15" i="14"/>
  <c r="H9" i="14" l="1"/>
  <c r="B16" i="14" s="1"/>
  <c r="D5" i="15" l="1"/>
  <c r="J5" i="15" s="1"/>
  <c r="F8" i="1" s="1"/>
  <c r="D5" i="3"/>
  <c r="J5" i="3" s="1"/>
  <c r="C8" i="1" s="1"/>
  <c r="D5" i="9"/>
  <c r="J5" i="9" s="1"/>
  <c r="E8" i="1" s="1"/>
  <c r="D5" i="5"/>
  <c r="J5" i="5" s="1"/>
  <c r="D8" i="1" s="1"/>
  <c r="D5" i="2"/>
  <c r="D15" i="14"/>
  <c r="E15" i="14" s="1"/>
  <c r="B18" i="14"/>
  <c r="B15" i="14"/>
  <c r="D16" i="14"/>
  <c r="E16" i="14" s="1"/>
  <c r="D17" i="14"/>
  <c r="E17" i="14" s="1"/>
  <c r="B17" i="14"/>
  <c r="D18" i="14"/>
  <c r="E18" i="14" s="1"/>
  <c r="B19" i="14"/>
  <c r="D19" i="14"/>
  <c r="E19" i="14" s="1"/>
  <c r="D4" i="15" l="1"/>
  <c r="J4" i="15" s="1"/>
  <c r="F7" i="1" s="1"/>
  <c r="D4" i="2"/>
  <c r="D4" i="3"/>
  <c r="J4" i="3" s="1"/>
  <c r="C7" i="1" s="1"/>
  <c r="D4" i="5"/>
  <c r="J4" i="5" s="1"/>
  <c r="D7" i="1" s="1"/>
  <c r="D4" i="9"/>
  <c r="J4" i="9" s="1"/>
  <c r="E7" i="1" s="1"/>
  <c r="D7" i="15"/>
  <c r="J7" i="15" s="1"/>
  <c r="F10" i="1" s="1"/>
  <c r="D7" i="5"/>
  <c r="J7" i="5" s="1"/>
  <c r="D10" i="1" s="1"/>
  <c r="D7" i="3"/>
  <c r="J7" i="3" s="1"/>
  <c r="C10" i="1" s="1"/>
  <c r="D7" i="2"/>
  <c r="J7" i="2" s="1"/>
  <c r="B10" i="1" s="1"/>
  <c r="D7" i="9"/>
  <c r="J7" i="9" s="1"/>
  <c r="E10" i="1" s="1"/>
  <c r="C19" i="14"/>
  <c r="D8" i="15"/>
  <c r="J8" i="15" s="1"/>
  <c r="F11" i="1" s="1"/>
  <c r="D8" i="5"/>
  <c r="J8" i="5" s="1"/>
  <c r="D11" i="1" s="1"/>
  <c r="D8" i="2"/>
  <c r="J8" i="2" s="1"/>
  <c r="B11" i="1" s="1"/>
  <c r="G11" i="1" s="1"/>
  <c r="D8" i="9"/>
  <c r="J8" i="9" s="1"/>
  <c r="E11" i="1" s="1"/>
  <c r="D8" i="3"/>
  <c r="J8" i="3" s="1"/>
  <c r="C11" i="1" s="1"/>
  <c r="D6" i="15"/>
  <c r="J6" i="15" s="1"/>
  <c r="F9" i="1" s="1"/>
  <c r="D6" i="2"/>
  <c r="D6" i="3"/>
  <c r="J6" i="3" s="1"/>
  <c r="C9" i="1" s="1"/>
  <c r="D6" i="5"/>
  <c r="J6" i="5" s="1"/>
  <c r="D9" i="1" s="1"/>
  <c r="D6" i="9"/>
  <c r="J6" i="9" s="1"/>
  <c r="E9" i="1" s="1"/>
  <c r="C18" i="14"/>
  <c r="C16" i="14"/>
  <c r="C17" i="14"/>
  <c r="C15" i="14"/>
  <c r="J6" i="2"/>
  <c r="B9" i="1" s="1"/>
  <c r="J4" i="2"/>
  <c r="J5" i="2"/>
  <c r="B8" i="1" s="1"/>
  <c r="G10" i="1" l="1"/>
  <c r="B7" i="1"/>
  <c r="A8" i="1"/>
  <c r="A9" i="1"/>
  <c r="A7" i="1"/>
  <c r="G7" i="1" l="1"/>
  <c r="G9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Jamil, Hasan R</author>
  </authors>
  <commentList>
    <comment ref="H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Fromula
Fee on CCL + Pre-Construction Phase Fee + Staff Amt 24 Months Term + Bonds and Insurance Amt
</t>
        </r>
      </text>
    </comment>
    <comment ref="J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COW Calculation</t>
        </r>
        <r>
          <rPr>
            <sz val="9"/>
            <color indexed="81"/>
            <rFont val="Tahoma"/>
            <family val="2"/>
          </rPr>
          <t xml:space="preserve">
COW = ((CCL)–(staff+bonds)–(Precon))/(fee%+1)</t>
        </r>
      </text>
    </comment>
    <comment ref="B1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Fromula:
((1-(Vendor Amount - Lowest Vendor Amount)/Lowest Vendor Amount)*High Score)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<sst xmlns="http://schemas.openxmlformats.org/spreadsheetml/2006/main" count="98" uniqueCount="45">
  <si>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</si>
  <si>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</si>
  <si>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</si>
  <si>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</si>
  <si>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</si>
  <si>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</si>
  <si>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</si>
  <si>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</si>
  <si>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</si>
  <si>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</si>
  <si>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</si>
  <si>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</si>
  <si>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EVALUATION SUMMARY</t>
  </si>
  <si>
    <t>updated 11/17</t>
  </si>
  <si>
    <t>Rank</t>
  </si>
  <si>
    <t>Average Total Score</t>
  </si>
  <si>
    <t>Score</t>
  </si>
  <si>
    <t>Technical</t>
  </si>
  <si>
    <t>Pre-Construction Phase</t>
  </si>
  <si>
    <t>Construction Phase</t>
  </si>
  <si>
    <t xml:space="preserve"> </t>
  </si>
  <si>
    <t>Fee on COW</t>
  </si>
  <si>
    <t>Fee</t>
  </si>
  <si>
    <t>Fee Percentage</t>
  </si>
  <si>
    <t>Staff Amt Monthly</t>
  </si>
  <si>
    <t>Staff Amt 24 Months Term</t>
  </si>
  <si>
    <t>Bonds and Insurance Amt</t>
  </si>
  <si>
    <t xml:space="preserve">Sum of Fees </t>
  </si>
  <si>
    <t xml:space="preserve">Cost of Work </t>
  </si>
  <si>
    <t>CCL</t>
  </si>
  <si>
    <t>Project Month:</t>
  </si>
  <si>
    <t>Lowest Sum:</t>
  </si>
  <si>
    <t xml:space="preserve">Formula = </t>
  </si>
  <si>
    <t>((1-Vendor Amount - Lowest Vendor Amount)/Lowest Vendor Amount)*High Score)</t>
  </si>
  <si>
    <t>SCORING SUMMARY</t>
  </si>
  <si>
    <t>Delta to Low Bid</t>
  </si>
  <si>
    <t>Delta % to Low Bid</t>
  </si>
  <si>
    <t>Total</t>
  </si>
  <si>
    <t>Austin Commercial</t>
  </si>
  <si>
    <t>Bartlett Cocke</t>
  </si>
  <si>
    <t>CMC Development</t>
  </si>
  <si>
    <t>Vaughn Construction</t>
  </si>
  <si>
    <t>Whiting-Turner</t>
  </si>
  <si>
    <t>NOTE:  Purchasing is basing the monthly Staffing Amt given by facilities on 8 months stated in the RFP from June 2023-Feb 2024.</t>
  </si>
  <si>
    <t xml:space="preserve">RFP730-230423 CMAR Guy V Lewis Renovations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</si>
</sst>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_);_(@_)"/>
    <numFmt numFmtId="165" formatCode="_([$$-409]* #,##0.00_);_([$$-409]* \(#,##0.00\);_([$$-409]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2" borderId="1" applyNumberFormat="0" applyFont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20" fillId="2" borderId="1" applyNumberFormat="0" applyFont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4" borderId="0" applyNumberFormat="0" applyBorder="0" applyAlignment="0" applyProtection="0"/>
    <xf numFmtId="0" fontId="24" fillId="21" borderId="2" applyNumberFormat="0" applyAlignment="0" applyProtection="0"/>
    <xf numFmtId="0" fontId="25" fillId="22" borderId="3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2" applyNumberFormat="0" applyAlignment="0" applyProtection="0"/>
    <xf numFmtId="0" fontId="32" fillId="0" borderId="7" applyNumberFormat="0" applyFill="0" applyAlignment="0" applyProtection="0"/>
    <xf numFmtId="0" fontId="33" fillId="23" borderId="0" applyNumberFormat="0" applyBorder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2" borderId="1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9" fillId="0" borderId="0"/>
    <xf numFmtId="0" fontId="19" fillId="2" borderId="1" applyNumberFormat="0" applyFont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19" fillId="0" borderId="0" applyFont="0" applyFill="0" applyBorder="0" applyAlignment="0" applyProtection="0"/>
    <xf numFmtId="0" fontId="3" fillId="0" borderId="0"/>
    <xf numFmtId="44" fontId="4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19" fillId="0" borderId="0" xfId="0" applyFont="1"/>
    <xf numFmtId="0" fontId="0" fillId="0" borderId="0" xfId="0"/>
    <xf numFmtId="0" fontId="17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8" fillId="25" borderId="0" xfId="0" applyFont="1" applyFill="1"/>
    <xf numFmtId="0" fontId="39" fillId="25" borderId="0" xfId="0" applyFont="1" applyFill="1" applyBorder="1"/>
    <xf numFmtId="0" fontId="17" fillId="25" borderId="0" xfId="0" applyFont="1" applyFill="1"/>
    <xf numFmtId="0" fontId="17" fillId="25" borderId="0" xfId="0" applyFont="1" applyFill="1" applyBorder="1" applyAlignment="1">
      <alignment horizontal="left" vertical="center"/>
    </xf>
    <xf numFmtId="0" fontId="17" fillId="25" borderId="0" xfId="0" applyFont="1" applyFill="1" applyBorder="1" applyAlignment="1">
      <alignment horizontal="right" textRotation="90" wrapText="1"/>
    </xf>
    <xf numFmtId="0" fontId="17" fillId="25" borderId="0" xfId="0" applyFont="1" applyFill="1" applyAlignment="1">
      <alignment horizontal="center" vertical="center"/>
    </xf>
    <xf numFmtId="0" fontId="18" fillId="25" borderId="11" xfId="0" applyFont="1" applyFill="1" applyBorder="1" applyAlignment="1">
      <alignment horizontal="left"/>
    </xf>
    <xf numFmtId="0" fontId="40" fillId="25" borderId="0" xfId="0" applyFont="1" applyFill="1"/>
    <xf numFmtId="0" fontId="42" fillId="0" borderId="10" xfId="100" applyFont="1" applyBorder="1" applyAlignment="1">
      <alignment horizontal="right"/>
    </xf>
    <xf numFmtId="0" fontId="42" fillId="0" borderId="10" xfId="100" applyFont="1" applyBorder="1" applyAlignment="1">
      <alignment horizontal="right"/>
    </xf>
    <xf numFmtId="0" fontId="44" fillId="0" borderId="10" xfId="100" applyFont="1" applyFill="1" applyBorder="1" applyAlignment="1">
      <alignment horizontal="right"/>
    </xf>
    <xf numFmtId="2" fontId="19" fillId="0" borderId="0" xfId="98" applyNumberFormat="1" applyFont="1"/>
    <xf numFmtId="0" fontId="38" fillId="25" borderId="0" xfId="0" applyFont="1" applyFill="1" applyAlignment="1">
      <alignment horizontal="right"/>
    </xf>
    <xf numFmtId="0" fontId="18" fillId="25" borderId="11" xfId="0" applyFont="1" applyFill="1" applyBorder="1"/>
    <xf numFmtId="0" fontId="18" fillId="25" borderId="12" xfId="0" applyFont="1" applyFill="1" applyBorder="1"/>
    <xf numFmtId="0" fontId="17" fillId="25" borderId="14" xfId="0" applyFont="1" applyFill="1" applyBorder="1" applyAlignment="1">
      <alignment horizontal="right" textRotation="90" wrapText="1"/>
    </xf>
    <xf numFmtId="4" fontId="18" fillId="25" borderId="13" xfId="0" applyNumberFormat="1" applyFont="1" applyFill="1" applyBorder="1" applyAlignment="1">
      <alignment horizontal="right"/>
    </xf>
    <xf numFmtId="4" fontId="18" fillId="25" borderId="15" xfId="0" applyNumberFormat="1" applyFont="1" applyFill="1" applyBorder="1" applyAlignment="1">
      <alignment horizontal="right"/>
    </xf>
    <xf numFmtId="0" fontId="42" fillId="0" borderId="0" xfId="0" applyFont="1" applyBorder="1" applyAlignment="1">
      <alignment horizontal="center" vertical="center" wrapText="1"/>
    </xf>
    <xf numFmtId="0" fontId="48" fillId="26" borderId="18" xfId="0" applyFont="1" applyFill="1" applyBorder="1" applyAlignment="1">
      <alignment horizontal="center" vertical="center" wrapText="1"/>
    </xf>
    <xf numFmtId="0" fontId="48" fillId="27" borderId="20" xfId="0" applyFont="1" applyFill="1" applyBorder="1" applyAlignment="1">
      <alignment horizontal="center" vertical="center" wrapText="1"/>
    </xf>
    <xf numFmtId="0" fontId="0" fillId="27" borderId="21" xfId="0" applyFill="1" applyBorder="1"/>
    <xf numFmtId="0" fontId="49" fillId="0" borderId="16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26" borderId="18" xfId="0" applyFont="1" applyFill="1" applyBorder="1" applyAlignment="1">
      <alignment horizontal="center" vertical="center" wrapText="1"/>
    </xf>
    <xf numFmtId="0" fontId="42" fillId="27" borderId="19" xfId="0" applyFont="1" applyFill="1" applyBorder="1" applyAlignment="1">
      <alignment horizontal="center" vertical="center" wrapText="1"/>
    </xf>
    <xf numFmtId="0" fontId="42" fillId="27" borderId="23" xfId="0" applyFont="1" applyFill="1" applyBorder="1" applyAlignment="1">
      <alignment horizontal="center" vertical="center" wrapText="1"/>
    </xf>
    <xf numFmtId="0" fontId="42" fillId="27" borderId="24" xfId="0" applyFont="1" applyFill="1" applyBorder="1" applyAlignment="1">
      <alignment horizontal="center" vertical="center" wrapText="1"/>
    </xf>
    <xf numFmtId="0" fontId="47" fillId="27" borderId="25" xfId="0" applyFont="1" applyFill="1" applyBorder="1" applyAlignment="1">
      <alignment vertical="center" wrapText="1"/>
    </xf>
    <xf numFmtId="0" fontId="50" fillId="0" borderId="26" xfId="0" applyFont="1" applyFill="1" applyBorder="1" applyAlignment="1">
      <alignment horizontal="center" vertical="center" wrapText="1"/>
    </xf>
    <xf numFmtId="0" fontId="47" fillId="28" borderId="26" xfId="0" applyFont="1" applyFill="1" applyBorder="1" applyAlignment="1">
      <alignment horizontal="center" vertical="center" wrapText="1"/>
    </xf>
    <xf numFmtId="0" fontId="19" fillId="0" borderId="27" xfId="2" applyFont="1" applyFill="1" applyBorder="1" applyAlignment="1"/>
    <xf numFmtId="44" fontId="19" fillId="0" borderId="28" xfId="108" applyFont="1" applyFill="1" applyBorder="1" applyAlignment="1"/>
    <xf numFmtId="164" fontId="0" fillId="24" borderId="28" xfId="0" applyNumberFormat="1" applyFill="1" applyBorder="1" applyAlignment="1">
      <alignment vertical="center"/>
    </xf>
    <xf numFmtId="10" fontId="0" fillId="24" borderId="28" xfId="0" applyNumberFormat="1" applyFill="1" applyBorder="1" applyAlignment="1">
      <alignment horizontal="center" vertical="center"/>
    </xf>
    <xf numFmtId="164" fontId="49" fillId="24" borderId="28" xfId="0" applyNumberFormat="1" applyFont="1" applyFill="1" applyBorder="1" applyAlignment="1">
      <alignment vertical="center"/>
    </xf>
    <xf numFmtId="164" fontId="43" fillId="0" borderId="28" xfId="0" applyNumberFormat="1" applyFont="1" applyFill="1" applyBorder="1" applyAlignment="1">
      <alignment vertical="center"/>
    </xf>
    <xf numFmtId="165" fontId="0" fillId="0" borderId="28" xfId="0" applyNumberFormat="1" applyFill="1" applyBorder="1"/>
    <xf numFmtId="165" fontId="0" fillId="0" borderId="0" xfId="0" applyNumberFormat="1"/>
    <xf numFmtId="164" fontId="0" fillId="24" borderId="27" xfId="0" applyNumberFormat="1" applyFill="1" applyBorder="1" applyAlignment="1">
      <alignment vertical="center"/>
    </xf>
    <xf numFmtId="10" fontId="0" fillId="24" borderId="27" xfId="0" applyNumberFormat="1" applyFill="1" applyBorder="1" applyAlignment="1">
      <alignment horizontal="center" vertical="center"/>
    </xf>
    <xf numFmtId="164" fontId="49" fillId="24" borderId="27" xfId="0" applyNumberFormat="1" applyFont="1" applyFill="1" applyBorder="1" applyAlignment="1">
      <alignment vertical="center"/>
    </xf>
    <xf numFmtId="165" fontId="0" fillId="0" borderId="27" xfId="0" applyNumberFormat="1" applyFill="1" applyBorder="1"/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164" fontId="42" fillId="0" borderId="0" xfId="0" applyNumberFormat="1" applyFont="1" applyFill="1" applyAlignment="1">
      <alignment vertical="center"/>
    </xf>
    <xf numFmtId="164" fontId="42" fillId="0" borderId="0" xfId="0" applyNumberFormat="1" applyFont="1" applyFill="1" applyAlignment="1">
      <alignment horizontal="right" vertical="center"/>
    </xf>
    <xf numFmtId="164" fontId="51" fillId="0" borderId="18" xfId="0" applyNumberFormat="1" applyFont="1" applyFill="1" applyBorder="1" applyAlignment="1">
      <alignment vertical="center"/>
    </xf>
    <xf numFmtId="0" fontId="19" fillId="0" borderId="0" xfId="0" applyFont="1" applyAlignment="1">
      <alignment horizontal="right"/>
    </xf>
    <xf numFmtId="43" fontId="19" fillId="0" borderId="0" xfId="106" applyFont="1" applyFill="1" applyAlignment="1">
      <alignment vertical="center"/>
    </xf>
    <xf numFmtId="0" fontId="2" fillId="0" borderId="0" xfId="109"/>
    <xf numFmtId="0" fontId="5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9" fillId="0" borderId="0" xfId="0" applyFont="1" applyFill="1" applyBorder="1"/>
    <xf numFmtId="0" fontId="19" fillId="0" borderId="18" xfId="0" applyFont="1" applyFill="1" applyBorder="1" applyAlignment="1">
      <alignment vertical="center"/>
    </xf>
    <xf numFmtId="0" fontId="44" fillId="0" borderId="18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2" fillId="0" borderId="0" xfId="0" applyFont="1" applyFill="1" applyBorder="1"/>
    <xf numFmtId="0" fontId="19" fillId="0" borderId="29" xfId="2" applyFont="1" applyFill="1" applyBorder="1" applyAlignment="1"/>
    <xf numFmtId="2" fontId="44" fillId="0" borderId="28" xfId="0" applyNumberFormat="1" applyFont="1" applyFill="1" applyBorder="1" applyAlignment="1">
      <alignment horizontal="center" vertical="center"/>
    </xf>
    <xf numFmtId="1" fontId="42" fillId="0" borderId="28" xfId="0" applyNumberFormat="1" applyFont="1" applyFill="1" applyBorder="1" applyAlignment="1">
      <alignment horizontal="center" vertical="center"/>
    </xf>
    <xf numFmtId="44" fontId="0" fillId="0" borderId="28" xfId="0" applyNumberFormat="1" applyFill="1" applyBorder="1" applyAlignment="1">
      <alignment horizontal="center" vertical="center"/>
    </xf>
    <xf numFmtId="10" fontId="47" fillId="0" borderId="30" xfId="0" applyNumberFormat="1" applyFont="1" applyFill="1" applyBorder="1" applyAlignment="1">
      <alignment horizontal="center" vertical="center"/>
    </xf>
    <xf numFmtId="10" fontId="4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44" fillId="0" borderId="27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47" fillId="24" borderId="18" xfId="109" applyFont="1" applyFill="1" applyBorder="1" applyAlignment="1">
      <alignment vertical="top" wrapText="1"/>
    </xf>
    <xf numFmtId="0" fontId="47" fillId="0" borderId="0" xfId="109" applyFont="1" applyFill="1" applyBorder="1" applyAlignment="1">
      <alignment vertical="top" wrapText="1"/>
    </xf>
    <xf numFmtId="0" fontId="2" fillId="0" borderId="0" xfId="109" applyFont="1" applyFill="1" applyBorder="1" applyAlignment="1">
      <alignment horizontal="left" vertical="top" wrapText="1"/>
    </xf>
    <xf numFmtId="2" fontId="43" fillId="0" borderId="0" xfId="0" applyNumberFormat="1" applyFont="1"/>
    <xf numFmtId="0" fontId="0" fillId="24" borderId="0" xfId="0" applyFill="1"/>
    <xf numFmtId="2" fontId="18" fillId="25" borderId="11" xfId="0" applyNumberFormat="1" applyFont="1" applyFill="1" applyBorder="1"/>
    <xf numFmtId="0" fontId="19" fillId="0" borderId="0" xfId="98" applyFont="1"/>
    <xf numFmtId="0" fontId="19" fillId="0" borderId="0" xfId="98" applyFont="1"/>
    <xf numFmtId="0" fontId="19" fillId="0" borderId="0" xfId="98" applyFont="1"/>
    <xf numFmtId="0" fontId="19" fillId="0" borderId="0" xfId="98"/>
    <xf numFmtId="0" fontId="19" fillId="0" borderId="0" xfId="98" applyFont="1"/>
    <xf numFmtId="0" fontId="18" fillId="27" borderId="11" xfId="0" applyFont="1" applyFill="1" applyBorder="1" applyAlignment="1">
      <alignment horizontal="left"/>
    </xf>
    <xf numFmtId="2" fontId="18" fillId="27" borderId="11" xfId="0" applyNumberFormat="1" applyFont="1" applyFill="1" applyBorder="1"/>
    <xf numFmtId="0" fontId="18" fillId="27" borderId="0" xfId="0" applyFont="1" applyFill="1"/>
    <xf numFmtId="4" fontId="18" fillId="27" borderId="15" xfId="0" applyNumberFormat="1" applyFont="1" applyFill="1" applyBorder="1" applyAlignment="1">
      <alignment horizontal="right"/>
    </xf>
    <xf numFmtId="0" fontId="18" fillId="27" borderId="12" xfId="0" applyFont="1" applyFill="1" applyBorder="1"/>
    <xf numFmtId="0" fontId="42" fillId="0" borderId="0" xfId="98" applyFont="1" applyAlignment="1">
      <alignment horizontal="left"/>
    </xf>
    <xf numFmtId="0" fontId="41" fillId="0" borderId="10" xfId="10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8" fillId="27" borderId="19" xfId="0" applyFont="1" applyFill="1" applyBorder="1" applyAlignment="1">
      <alignment horizontal="center" vertical="center" wrapText="1"/>
    </xf>
    <xf numFmtId="0" fontId="48" fillId="27" borderId="20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/>
    </xf>
    <xf numFmtId="0" fontId="52" fillId="0" borderId="20" xfId="0" applyFont="1" applyFill="1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/>
    </xf>
    <xf numFmtId="0" fontId="38" fillId="25" borderId="0" xfId="0" applyFont="1" applyFill="1" applyAlignment="1">
      <alignment horizontal="left"/>
    </xf>
  </cellXfs>
  <cellStyles count="11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3" xfId="33" xr:uid="{00000000-0005-0000-0000-00003A000000}"/>
    <cellStyle name="Good 2" xfId="76" xr:uid="{00000000-0005-0000-0000-00003C000000}"/>
    <cellStyle name="Good 3" xfId="34" xr:uid="{00000000-0005-0000-0000-00003D000000}"/>
    <cellStyle name="Heading 1 2" xfId="77" xr:uid="{00000000-0005-0000-0000-00003E000000}"/>
    <cellStyle name="Heading 1 3" xfId="35" xr:uid="{00000000-0005-0000-0000-00003F000000}"/>
    <cellStyle name="Heading 2 2" xfId="78" xr:uid="{00000000-0005-0000-0000-000040000000}"/>
    <cellStyle name="Heading 2 3" xfId="36" xr:uid="{00000000-0005-0000-0000-000041000000}"/>
    <cellStyle name="Heading 3 2" xfId="79" xr:uid="{00000000-0005-0000-0000-000042000000}"/>
    <cellStyle name="Heading 3 3" xfId="37" xr:uid="{00000000-0005-0000-0000-000043000000}"/>
    <cellStyle name="Heading 4 2" xfId="80" xr:uid="{00000000-0005-0000-0000-000044000000}"/>
    <cellStyle name="Heading 4 3" xfId="38" xr:uid="{00000000-0005-0000-0000-000045000000}"/>
    <cellStyle name="Input 2" xfId="81" xr:uid="{00000000-0005-0000-0000-000046000000}"/>
    <cellStyle name="Input 3" xfId="39" xr:uid="{00000000-0005-0000-0000-000047000000}"/>
    <cellStyle name="Linked Cell 2" xfId="82" xr:uid="{00000000-0005-0000-0000-000048000000}"/>
    <cellStyle name="Linked Cell 3" xfId="40" xr:uid="{00000000-0005-0000-0000-000049000000}"/>
    <cellStyle name="Neutral 2" xfId="83" xr:uid="{00000000-0005-0000-0000-00004A000000}"/>
    <cellStyle name="Neutral 3" xfId="41" xr:uid="{00000000-0005-0000-0000-00004B000000}"/>
    <cellStyle name="Normal" xfId="0" builtinId="0"/>
    <cellStyle name="Normal 2" xfId="2" xr:uid="{00000000-0005-0000-0000-00004D000000}"/>
    <cellStyle name="Normal 3" xfId="3" xr:uid="{00000000-0005-0000-0000-00004E000000}"/>
    <cellStyle name="Normal 3 2" xfId="88" xr:uid="{00000000-0005-0000-0000-00004F000000}"/>
    <cellStyle name="Normal 3 3" xfId="97" xr:uid="{00000000-0005-0000-0000-000050000000}"/>
    <cellStyle name="Normal 3 3 2" xfId="107" xr:uid="{00000000-0005-0000-0000-000051000000}"/>
    <cellStyle name="Normal 3 4" xfId="105" xr:uid="{00000000-0005-0000-0000-000052000000}"/>
    <cellStyle name="Normal 3 5" xfId="109" xr:uid="{00000000-0005-0000-0000-000053000000}"/>
    <cellStyle name="Normal 4" xfId="4" xr:uid="{00000000-0005-0000-0000-000054000000}"/>
    <cellStyle name="Normal 4 10" xfId="100" xr:uid="{00000000-0005-0000-0000-000055000000}"/>
    <cellStyle name="Normal 4 11" xfId="102" xr:uid="{00000000-0005-0000-0000-000056000000}"/>
    <cellStyle name="Normal 4 12" xfId="104" xr:uid="{00000000-0005-0000-0000-000057000000}"/>
    <cellStyle name="Normal 4 13" xfId="111" xr:uid="{00000000-0005-0000-0000-00004C000000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6" xfId="101" xr:uid="{00000000-0005-0000-0000-000061000000}"/>
    <cellStyle name="Normal 7" xfId="103" xr:uid="{00000000-0005-0000-0000-000062000000}"/>
    <cellStyle name="Normal 8" xfId="110" xr:uid="{00000000-0005-0000-0000-00009D000000}"/>
    <cellStyle name="Note 2" xfId="5" xr:uid="{00000000-0005-0000-0000-000063000000}"/>
    <cellStyle name="Note 3" xfId="89" xr:uid="{00000000-0005-0000-0000-000064000000}"/>
    <cellStyle name="Note 4" xfId="42" xr:uid="{00000000-0005-0000-0000-000065000000}"/>
    <cellStyle name="Note 4 2" xfId="99" xr:uid="{00000000-0005-0000-0000-000066000000}"/>
    <cellStyle name="Output 2" xfId="84" xr:uid="{00000000-0005-0000-0000-000067000000}"/>
    <cellStyle name="Output 3" xfId="43" xr:uid="{00000000-0005-0000-0000-000068000000}"/>
    <cellStyle name="Percent 2" xfId="112" xr:uid="{00000000-0005-0000-0000-00009F000000}"/>
    <cellStyle name="Title 2" xfId="85" xr:uid="{00000000-0005-0000-0000-000069000000}"/>
    <cellStyle name="Title 3" xfId="44" xr:uid="{00000000-0005-0000-0000-00006A000000}"/>
    <cellStyle name="Total 2" xfId="86" xr:uid="{00000000-0005-0000-0000-00006B000000}"/>
    <cellStyle name="Total 3" xfId="45" xr:uid="{00000000-0005-0000-0000-00006C000000}"/>
    <cellStyle name="Warning Text 2" xfId="87" xr:uid="{00000000-0005-0000-0000-00006D000000}"/>
    <cellStyle name="Warning Text 3" xfId="46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selection activeCell="I16" sqref="I16"/>
    </sheetView>
  </sheetViews>
  <sheetFormatPr defaultRowHeight="12.75" x14ac:dyDescent="0.2"/>
  <cols>
    <col min="1" max="3" width="9.42578125" customWidth="1"/>
    <col min="4" max="7" width="8.85546875" customWidth="1"/>
    <col min="8" max="9" width="8.85546875" style="7" customWidth="1"/>
    <col min="10" max="10" width="12.42578125" bestFit="1" customWidth="1"/>
  </cols>
  <sheetData>
    <row r="1" spans="1:12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100"/>
      <c r="B3" s="100"/>
      <c r="C3" s="100"/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2" t="s">
        <v>37</v>
      </c>
    </row>
    <row r="4" spans="1:12" x14ac:dyDescent="0.2">
      <c r="A4" s="99" t="s">
        <v>38</v>
      </c>
      <c r="B4" s="99"/>
      <c r="C4" s="99"/>
      <c r="D4" s="23">
        <f>'Cost Summary'!B15</f>
        <v>26.332615344840654</v>
      </c>
      <c r="E4" s="89">
        <v>14</v>
      </c>
      <c r="F4" s="89">
        <v>10.5</v>
      </c>
      <c r="G4" s="89">
        <v>7</v>
      </c>
      <c r="H4" s="89">
        <v>10.5</v>
      </c>
      <c r="I4" s="89">
        <v>7</v>
      </c>
      <c r="J4" s="86">
        <f>SUM(D4:I4)</f>
        <v>75.332615344840661</v>
      </c>
    </row>
    <row r="5" spans="1:12" x14ac:dyDescent="0.2">
      <c r="A5" s="99" t="s">
        <v>39</v>
      </c>
      <c r="B5" s="99"/>
      <c r="C5" s="99"/>
      <c r="D5" s="23">
        <f>'Cost Summary'!B16</f>
        <v>20.408267030041927</v>
      </c>
      <c r="E5" s="89">
        <v>12</v>
      </c>
      <c r="F5" s="89">
        <v>10.5</v>
      </c>
      <c r="G5" s="89">
        <v>7</v>
      </c>
      <c r="H5" s="89">
        <v>10.5</v>
      </c>
      <c r="I5" s="89">
        <v>7</v>
      </c>
      <c r="J5" s="86">
        <f>SUM(D5:I5)</f>
        <v>67.408267030041927</v>
      </c>
      <c r="L5" s="5"/>
    </row>
    <row r="6" spans="1:12" x14ac:dyDescent="0.2">
      <c r="A6" s="99" t="s">
        <v>40</v>
      </c>
      <c r="B6" s="99"/>
      <c r="C6" s="99"/>
      <c r="D6" s="23">
        <f>'Cost Summary'!B17</f>
        <v>30</v>
      </c>
      <c r="E6" s="89">
        <v>8</v>
      </c>
      <c r="F6" s="89">
        <v>9</v>
      </c>
      <c r="G6" s="89">
        <v>5</v>
      </c>
      <c r="H6" s="89">
        <v>9</v>
      </c>
      <c r="I6" s="89">
        <v>6</v>
      </c>
      <c r="J6" s="86">
        <f>SUM(D6:I6)</f>
        <v>67</v>
      </c>
      <c r="L6" s="5"/>
    </row>
    <row r="7" spans="1:12" x14ac:dyDescent="0.2">
      <c r="A7" s="99" t="s">
        <v>41</v>
      </c>
      <c r="B7" s="99"/>
      <c r="C7" s="99"/>
      <c r="D7" s="23">
        <f>'Cost Summary'!B18</f>
        <v>17.529086418181731</v>
      </c>
      <c r="E7" s="89">
        <v>14</v>
      </c>
      <c r="F7" s="89">
        <v>9</v>
      </c>
      <c r="G7" s="89">
        <v>7</v>
      </c>
      <c r="H7" s="89">
        <v>10.5</v>
      </c>
      <c r="I7" s="89">
        <v>7</v>
      </c>
      <c r="J7" s="86">
        <f>SUM(D7:I7)</f>
        <v>65.029086418181734</v>
      </c>
    </row>
    <row r="8" spans="1:12" x14ac:dyDescent="0.2">
      <c r="A8" s="99" t="s">
        <v>42</v>
      </c>
      <c r="B8" s="99"/>
      <c r="C8" s="99"/>
      <c r="D8" s="23">
        <f>'Cost Summary'!B19</f>
        <v>20.635892831950951</v>
      </c>
      <c r="E8" s="89">
        <v>16</v>
      </c>
      <c r="F8" s="89">
        <v>12</v>
      </c>
      <c r="G8" s="89">
        <v>7</v>
      </c>
      <c r="H8" s="89">
        <v>12</v>
      </c>
      <c r="I8" s="89">
        <v>7</v>
      </c>
      <c r="J8" s="86">
        <f>SUM(D8:I8)</f>
        <v>74.635892831950954</v>
      </c>
    </row>
  </sheetData>
  <mergeCells count="6">
    <mergeCell ref="A8:C8"/>
    <mergeCell ref="A6:C6"/>
    <mergeCell ref="A3:C3"/>
    <mergeCell ref="A4:C4"/>
    <mergeCell ref="A5:C5"/>
    <mergeCell ref="A7:C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workbookViewId="0">
      <selection activeCell="F39" sqref="F39"/>
    </sheetView>
  </sheetViews>
  <sheetFormatPr defaultRowHeight="12.75" x14ac:dyDescent="0.2"/>
  <cols>
    <col min="11" max="11" width="14.42578125" bestFit="1" customWidth="1"/>
  </cols>
  <sheetData>
    <row r="1" spans="1:16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</row>
    <row r="2" spans="1:16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6" x14ac:dyDescent="0.2">
      <c r="A3" s="100"/>
      <c r="B3" s="100"/>
      <c r="C3" s="100"/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37</v>
      </c>
      <c r="K3" s="6"/>
      <c r="L3" s="6"/>
      <c r="M3" s="6"/>
      <c r="N3" s="6"/>
      <c r="O3" s="6"/>
      <c r="P3" s="6"/>
    </row>
    <row r="4" spans="1:16" x14ac:dyDescent="0.2">
      <c r="A4" s="99" t="s">
        <v>38</v>
      </c>
      <c r="B4" s="99"/>
      <c r="C4" s="99"/>
      <c r="D4" s="23">
        <f>'Cost Summary'!B15</f>
        <v>26.332615344840654</v>
      </c>
      <c r="E4" s="90">
        <v>17.2</v>
      </c>
      <c r="F4" s="90">
        <v>12.299999999999999</v>
      </c>
      <c r="G4" s="90">
        <v>8.4</v>
      </c>
      <c r="H4" s="90">
        <v>12.899999999999999</v>
      </c>
      <c r="I4" s="90">
        <v>8.6</v>
      </c>
      <c r="J4" s="86">
        <f>SUM(D4:I4)</f>
        <v>85.732615344840639</v>
      </c>
      <c r="K4" s="7"/>
      <c r="L4" s="7"/>
      <c r="M4" s="7"/>
      <c r="N4" s="7"/>
      <c r="O4" s="7"/>
      <c r="P4" s="7"/>
    </row>
    <row r="5" spans="1:16" x14ac:dyDescent="0.2">
      <c r="A5" s="99" t="s">
        <v>39</v>
      </c>
      <c r="B5" s="99"/>
      <c r="C5" s="99"/>
      <c r="D5" s="23">
        <f>'Cost Summary'!B16</f>
        <v>20.408267030041927</v>
      </c>
      <c r="E5" s="90">
        <v>14</v>
      </c>
      <c r="F5" s="90">
        <v>11.100000000000001</v>
      </c>
      <c r="G5" s="90">
        <v>8</v>
      </c>
      <c r="H5" s="90">
        <v>11.399999999999999</v>
      </c>
      <c r="I5" s="90">
        <v>8.8000000000000007</v>
      </c>
      <c r="J5" s="86">
        <f>SUM(D5:I5)</f>
        <v>73.708267030041924</v>
      </c>
      <c r="K5" s="7"/>
      <c r="L5" s="7"/>
      <c r="M5" s="7"/>
      <c r="N5" s="7"/>
      <c r="O5" s="7"/>
      <c r="P5" s="7"/>
    </row>
    <row r="6" spans="1:16" x14ac:dyDescent="0.2">
      <c r="A6" s="99" t="s">
        <v>40</v>
      </c>
      <c r="B6" s="99"/>
      <c r="C6" s="99"/>
      <c r="D6" s="23">
        <f>'Cost Summary'!B17</f>
        <v>30</v>
      </c>
      <c r="E6" s="90">
        <v>10</v>
      </c>
      <c r="F6" s="90">
        <v>7.8000000000000007</v>
      </c>
      <c r="G6" s="90">
        <v>6</v>
      </c>
      <c r="H6" s="90">
        <v>8.3999999999999986</v>
      </c>
      <c r="I6" s="90">
        <v>6.4</v>
      </c>
      <c r="J6" s="86">
        <f>SUM(D6:I6)</f>
        <v>68.599999999999994</v>
      </c>
      <c r="K6" s="7"/>
      <c r="L6" s="7"/>
      <c r="M6" s="7"/>
      <c r="N6" s="7"/>
      <c r="O6" s="7"/>
      <c r="P6" s="7"/>
    </row>
    <row r="7" spans="1:16" x14ac:dyDescent="0.2">
      <c r="A7" s="99" t="s">
        <v>41</v>
      </c>
      <c r="B7" s="99"/>
      <c r="C7" s="99"/>
      <c r="D7" s="23">
        <f>'Cost Summary'!B18</f>
        <v>17.529086418181731</v>
      </c>
      <c r="E7" s="90">
        <v>16.8</v>
      </c>
      <c r="F7" s="90">
        <v>12.299999999999999</v>
      </c>
      <c r="G7" s="90">
        <v>8.1999999999999993</v>
      </c>
      <c r="H7" s="90">
        <v>12.600000000000001</v>
      </c>
      <c r="I7" s="90">
        <v>8.6</v>
      </c>
      <c r="J7" s="86">
        <f>SUM(D7:I7)</f>
        <v>76.02908641818172</v>
      </c>
      <c r="K7" s="7"/>
      <c r="L7" s="7"/>
      <c r="M7" s="7"/>
      <c r="N7" s="7"/>
      <c r="O7" s="7"/>
      <c r="P7" s="7"/>
    </row>
    <row r="8" spans="1:16" x14ac:dyDescent="0.2">
      <c r="A8" s="99" t="s">
        <v>42</v>
      </c>
      <c r="B8" s="99"/>
      <c r="C8" s="99"/>
      <c r="D8" s="23">
        <f>'Cost Summary'!B19</f>
        <v>20.635892831950951</v>
      </c>
      <c r="E8" s="90">
        <v>18</v>
      </c>
      <c r="F8" s="90">
        <v>12.899999999999999</v>
      </c>
      <c r="G8" s="90">
        <v>9</v>
      </c>
      <c r="H8" s="90">
        <v>13.200000000000001</v>
      </c>
      <c r="I8" s="90">
        <v>8.8000000000000007</v>
      </c>
      <c r="J8" s="86">
        <f>SUM(D8:I8)</f>
        <v>82.535892831950946</v>
      </c>
      <c r="K8" s="7"/>
      <c r="L8" s="7"/>
      <c r="M8" s="7"/>
      <c r="N8" s="7"/>
      <c r="O8" s="7"/>
      <c r="P8" s="7"/>
    </row>
    <row r="9" spans="1:16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</sheetData>
  <mergeCells count="6">
    <mergeCell ref="A8:C8"/>
    <mergeCell ref="A6:C6"/>
    <mergeCell ref="A3:C3"/>
    <mergeCell ref="A4:C4"/>
    <mergeCell ref="A5:C5"/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"/>
  <sheetViews>
    <sheetView workbookViewId="0">
      <selection activeCell="G20" sqref="G20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6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6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6" x14ac:dyDescent="0.2">
      <c r="A3" s="100"/>
      <c r="B3" s="100"/>
      <c r="C3" s="100"/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37</v>
      </c>
      <c r="K3" s="6"/>
      <c r="L3" s="6"/>
      <c r="M3" s="6"/>
      <c r="N3" s="6"/>
      <c r="O3" s="6"/>
      <c r="P3" s="6"/>
    </row>
    <row r="4" spans="1:16" x14ac:dyDescent="0.2">
      <c r="A4" s="99" t="s">
        <v>38</v>
      </c>
      <c r="B4" s="99"/>
      <c r="C4" s="99"/>
      <c r="D4" s="23">
        <f>'Cost Summary'!B15</f>
        <v>26.332615344840654</v>
      </c>
      <c r="E4" s="91">
        <v>16</v>
      </c>
      <c r="F4" s="91">
        <v>11.399999999999999</v>
      </c>
      <c r="G4" s="91">
        <v>7</v>
      </c>
      <c r="H4" s="91">
        <v>11.399999999999999</v>
      </c>
      <c r="I4" s="91">
        <v>7</v>
      </c>
      <c r="J4" s="86">
        <f>SUM(D4:I4)</f>
        <v>79.132615344840644</v>
      </c>
      <c r="K4" s="7"/>
      <c r="L4" s="7"/>
      <c r="M4" s="7"/>
      <c r="N4" s="7"/>
      <c r="O4" s="7"/>
      <c r="P4" s="7"/>
    </row>
    <row r="5" spans="1:16" x14ac:dyDescent="0.2">
      <c r="A5" s="99" t="s">
        <v>39</v>
      </c>
      <c r="B5" s="99"/>
      <c r="C5" s="99"/>
      <c r="D5" s="23">
        <f>'Cost Summary'!B16</f>
        <v>20.408267030041927</v>
      </c>
      <c r="E5" s="91">
        <v>10</v>
      </c>
      <c r="F5" s="91">
        <v>8.3999999999999986</v>
      </c>
      <c r="G5" s="91">
        <v>7</v>
      </c>
      <c r="H5" s="91">
        <v>10.5</v>
      </c>
      <c r="I5" s="91">
        <v>7</v>
      </c>
      <c r="J5" s="86">
        <f>SUM(D5:I5)</f>
        <v>63.308267030041925</v>
      </c>
      <c r="K5" s="7"/>
      <c r="L5" s="7"/>
      <c r="M5" s="7"/>
      <c r="N5" s="7"/>
      <c r="O5" s="7"/>
      <c r="P5" s="7"/>
    </row>
    <row r="6" spans="1:16" x14ac:dyDescent="0.2">
      <c r="A6" s="99" t="s">
        <v>40</v>
      </c>
      <c r="B6" s="99"/>
      <c r="C6" s="99"/>
      <c r="D6" s="23">
        <f>'Cost Summary'!B17</f>
        <v>30</v>
      </c>
      <c r="E6" s="91">
        <v>11.2</v>
      </c>
      <c r="F6" s="91">
        <v>8.3999999999999986</v>
      </c>
      <c r="G6" s="91">
        <v>7</v>
      </c>
      <c r="H6" s="91">
        <v>9.8999999999999986</v>
      </c>
      <c r="I6" s="91">
        <v>6.6</v>
      </c>
      <c r="J6" s="86">
        <f>SUM(D6:I6)</f>
        <v>73.099999999999994</v>
      </c>
      <c r="K6" s="7"/>
      <c r="L6" s="7"/>
      <c r="M6" s="7"/>
      <c r="N6" s="7"/>
      <c r="O6" s="7"/>
      <c r="P6" s="7"/>
    </row>
    <row r="7" spans="1:16" x14ac:dyDescent="0.2">
      <c r="A7" s="99" t="s">
        <v>41</v>
      </c>
      <c r="B7" s="99"/>
      <c r="C7" s="99"/>
      <c r="D7" s="23">
        <f>'Cost Summary'!B18</f>
        <v>17.529086418181731</v>
      </c>
      <c r="E7" s="91">
        <v>17.2</v>
      </c>
      <c r="F7" s="91">
        <v>10.5</v>
      </c>
      <c r="G7" s="91">
        <v>7</v>
      </c>
      <c r="H7" s="91">
        <v>11.399999999999999</v>
      </c>
      <c r="I7" s="91">
        <v>7</v>
      </c>
      <c r="J7" s="86">
        <f>SUM(D7:I7)</f>
        <v>70.629086418181728</v>
      </c>
      <c r="K7" s="7"/>
      <c r="L7" s="7"/>
      <c r="M7" s="7"/>
      <c r="N7" s="7"/>
      <c r="O7" s="7"/>
      <c r="P7" s="7"/>
    </row>
    <row r="8" spans="1:16" x14ac:dyDescent="0.2">
      <c r="A8" s="99" t="s">
        <v>42</v>
      </c>
      <c r="B8" s="99"/>
      <c r="C8" s="99"/>
      <c r="D8" s="23">
        <f>'Cost Summary'!B19</f>
        <v>20.635892831950951</v>
      </c>
      <c r="E8" s="91">
        <v>18</v>
      </c>
      <c r="F8" s="91">
        <v>12</v>
      </c>
      <c r="G8" s="91">
        <v>7</v>
      </c>
      <c r="H8" s="91">
        <v>12</v>
      </c>
      <c r="I8" s="91">
        <v>7</v>
      </c>
      <c r="J8" s="86">
        <f>SUM(D8:I8)</f>
        <v>76.635892831950954</v>
      </c>
      <c r="K8" s="7"/>
      <c r="L8" s="7"/>
      <c r="M8" s="7"/>
      <c r="N8" s="7"/>
      <c r="O8" s="7"/>
      <c r="P8" s="7"/>
    </row>
    <row r="9" spans="1:16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</sheetData>
  <mergeCells count="6">
    <mergeCell ref="A8:C8"/>
    <mergeCell ref="A6:C6"/>
    <mergeCell ref="A3:C3"/>
    <mergeCell ref="A4:C4"/>
    <mergeCell ref="A5:C5"/>
    <mergeCell ref="A7:C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workbookViewId="0">
      <selection activeCell="E19" sqref="E19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6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  <c r="J1" s="7"/>
    </row>
    <row r="2" spans="1:16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6" x14ac:dyDescent="0.2">
      <c r="A3" s="100"/>
      <c r="B3" s="100"/>
      <c r="C3" s="100"/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37</v>
      </c>
      <c r="K3" s="6"/>
      <c r="L3" s="6"/>
      <c r="M3" s="6"/>
      <c r="N3" s="6"/>
      <c r="O3" s="6"/>
      <c r="P3" s="6"/>
    </row>
    <row r="4" spans="1:16" x14ac:dyDescent="0.2">
      <c r="A4" s="99" t="s">
        <v>38</v>
      </c>
      <c r="B4" s="99"/>
      <c r="C4" s="99"/>
      <c r="D4" s="23">
        <f>'Cost Summary'!B15</f>
        <v>26.332615344840654</v>
      </c>
      <c r="E4" s="92">
        <v>18</v>
      </c>
      <c r="F4" s="92">
        <v>12.75</v>
      </c>
      <c r="G4" s="92">
        <v>8.5</v>
      </c>
      <c r="H4" s="92">
        <v>12</v>
      </c>
      <c r="I4" s="92">
        <v>8</v>
      </c>
      <c r="J4" s="86">
        <f>SUM(D4:I4)</f>
        <v>85.582615344840661</v>
      </c>
      <c r="K4" s="7"/>
      <c r="L4" s="7"/>
      <c r="M4" s="7"/>
      <c r="N4" s="7"/>
      <c r="O4" s="7"/>
      <c r="P4" s="7"/>
    </row>
    <row r="5" spans="1:16" x14ac:dyDescent="0.2">
      <c r="A5" s="99" t="s">
        <v>39</v>
      </c>
      <c r="B5" s="99"/>
      <c r="C5" s="99"/>
      <c r="D5" s="23">
        <f>'Cost Summary'!B16</f>
        <v>20.408267030041927</v>
      </c>
      <c r="E5" s="92">
        <v>12</v>
      </c>
      <c r="F5" s="92">
        <v>9</v>
      </c>
      <c r="G5" s="92">
        <v>6</v>
      </c>
      <c r="H5" s="92">
        <v>7.5</v>
      </c>
      <c r="I5" s="92">
        <v>6</v>
      </c>
      <c r="J5" s="86">
        <f>SUM(D5:I5)</f>
        <v>60.908267030041927</v>
      </c>
      <c r="K5" s="7"/>
      <c r="L5" s="7"/>
      <c r="M5" s="7"/>
      <c r="N5" s="7"/>
      <c r="O5" s="7"/>
      <c r="P5" s="7"/>
    </row>
    <row r="6" spans="1:16" x14ac:dyDescent="0.2">
      <c r="A6" s="99" t="s">
        <v>40</v>
      </c>
      <c r="B6" s="99"/>
      <c r="C6" s="99"/>
      <c r="D6" s="23">
        <f>'Cost Summary'!B17</f>
        <v>30</v>
      </c>
      <c r="E6" s="92">
        <v>6</v>
      </c>
      <c r="F6" s="92">
        <v>5.4</v>
      </c>
      <c r="G6" s="92">
        <v>4</v>
      </c>
      <c r="H6" s="92">
        <v>6</v>
      </c>
      <c r="I6" s="92">
        <v>6</v>
      </c>
      <c r="J6" s="86">
        <f>SUM(D6:I6)</f>
        <v>57.4</v>
      </c>
      <c r="K6" s="7"/>
      <c r="L6" s="7"/>
      <c r="M6" s="7"/>
      <c r="N6" s="7"/>
      <c r="O6" s="7"/>
      <c r="P6" s="7"/>
    </row>
    <row r="7" spans="1:16" x14ac:dyDescent="0.2">
      <c r="A7" s="99" t="s">
        <v>41</v>
      </c>
      <c r="B7" s="99"/>
      <c r="C7" s="99"/>
      <c r="D7" s="23">
        <f>'Cost Summary'!B18</f>
        <v>17.529086418181731</v>
      </c>
      <c r="E7" s="92">
        <v>16</v>
      </c>
      <c r="F7" s="92">
        <v>9</v>
      </c>
      <c r="G7" s="92">
        <v>6</v>
      </c>
      <c r="H7" s="92">
        <v>9</v>
      </c>
      <c r="I7" s="92">
        <v>8</v>
      </c>
      <c r="J7" s="86">
        <f>SUM(D7:I7)</f>
        <v>65.529086418181734</v>
      </c>
      <c r="K7" s="7"/>
      <c r="L7" s="7"/>
      <c r="M7" s="7"/>
      <c r="N7" s="7"/>
      <c r="O7" s="7"/>
      <c r="P7" s="7"/>
    </row>
    <row r="8" spans="1:16" x14ac:dyDescent="0.2">
      <c r="A8" s="99" t="s">
        <v>42</v>
      </c>
      <c r="B8" s="99"/>
      <c r="C8" s="99"/>
      <c r="D8" s="23">
        <f>'Cost Summary'!B19</f>
        <v>20.635892831950951</v>
      </c>
      <c r="E8" s="92">
        <v>20</v>
      </c>
      <c r="F8" s="92">
        <v>15</v>
      </c>
      <c r="G8" s="92">
        <v>9.5</v>
      </c>
      <c r="H8" s="92">
        <v>14.25</v>
      </c>
      <c r="I8" s="92">
        <v>9.5</v>
      </c>
      <c r="J8" s="86">
        <f>SUM(D8:I8)</f>
        <v>88.885892831950954</v>
      </c>
      <c r="K8" s="7"/>
      <c r="L8" s="7"/>
      <c r="M8" s="7"/>
      <c r="N8" s="7"/>
      <c r="O8" s="7"/>
      <c r="P8" s="7"/>
    </row>
    <row r="9" spans="1:16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</sheetData>
  <mergeCells count="6">
    <mergeCell ref="A8:C8"/>
    <mergeCell ref="A6:C6"/>
    <mergeCell ref="A3:C3"/>
    <mergeCell ref="A4:C4"/>
    <mergeCell ref="A5:C5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"/>
  <sheetViews>
    <sheetView workbookViewId="0">
      <selection activeCell="I8" sqref="I8"/>
    </sheetView>
  </sheetViews>
  <sheetFormatPr defaultRowHeight="12.75" x14ac:dyDescent="0.2"/>
  <cols>
    <col min="1" max="9" width="9.140625" style="7"/>
    <col min="10" max="10" width="9.85546875" style="7" bestFit="1" customWidth="1"/>
    <col min="11" max="11" width="14.42578125" style="7" bestFit="1" customWidth="1"/>
    <col min="12" max="16384" width="9.140625" style="7"/>
  </cols>
  <sheetData>
    <row r="1" spans="1:16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</row>
    <row r="2" spans="1:16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6" x14ac:dyDescent="0.2">
      <c r="A3" s="100"/>
      <c r="B3" s="100"/>
      <c r="C3" s="100"/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37</v>
      </c>
      <c r="K3" s="6"/>
      <c r="L3" s="6"/>
      <c r="M3" s="6"/>
      <c r="N3" s="6"/>
      <c r="O3" s="6"/>
      <c r="P3" s="6"/>
    </row>
    <row r="4" spans="1:16" x14ac:dyDescent="0.2">
      <c r="A4" s="99" t="s">
        <v>38</v>
      </c>
      <c r="B4" s="99"/>
      <c r="C4" s="99"/>
      <c r="D4" s="23">
        <f>'Cost Summary'!B15</f>
        <v>26.332615344840654</v>
      </c>
      <c r="E4" s="93">
        <v>15.2</v>
      </c>
      <c r="F4" s="93">
        <v>12.899999999999999</v>
      </c>
      <c r="G4" s="93">
        <v>8.8000000000000007</v>
      </c>
      <c r="H4" s="93">
        <v>12.899999999999999</v>
      </c>
      <c r="I4" s="93">
        <v>8.8000000000000007</v>
      </c>
      <c r="J4" s="86">
        <f>SUM(D4:I4)</f>
        <v>84.932615344840642</v>
      </c>
    </row>
    <row r="5" spans="1:16" x14ac:dyDescent="0.2">
      <c r="A5" s="99" t="s">
        <v>39</v>
      </c>
      <c r="B5" s="99"/>
      <c r="C5" s="99"/>
      <c r="D5" s="23">
        <f>'Cost Summary'!B16</f>
        <v>20.408267030041927</v>
      </c>
      <c r="E5" s="93">
        <v>11.2</v>
      </c>
      <c r="F5" s="93">
        <v>9.3000000000000007</v>
      </c>
      <c r="G5" s="93">
        <v>6</v>
      </c>
      <c r="H5" s="93">
        <v>9.3000000000000007</v>
      </c>
      <c r="I5" s="93">
        <v>6.4</v>
      </c>
      <c r="J5" s="86">
        <f>SUM(D5:I5)</f>
        <v>62.608267030041922</v>
      </c>
    </row>
    <row r="6" spans="1:16" x14ac:dyDescent="0.2">
      <c r="A6" s="99" t="s">
        <v>40</v>
      </c>
      <c r="B6" s="99"/>
      <c r="C6" s="99"/>
      <c r="D6" s="23">
        <f>'Cost Summary'!B17</f>
        <v>30</v>
      </c>
      <c r="E6" s="93">
        <v>0.8</v>
      </c>
      <c r="F6" s="93">
        <v>1.5</v>
      </c>
      <c r="G6" s="93">
        <v>2.2000000000000002</v>
      </c>
      <c r="H6" s="93">
        <v>3.5999999999999996</v>
      </c>
      <c r="I6" s="93">
        <v>2</v>
      </c>
      <c r="J6" s="86">
        <f>SUM(D6:I6)</f>
        <v>40.1</v>
      </c>
    </row>
    <row r="7" spans="1:16" x14ac:dyDescent="0.2">
      <c r="A7" s="99" t="s">
        <v>41</v>
      </c>
      <c r="B7" s="99"/>
      <c r="C7" s="99"/>
      <c r="D7" s="23">
        <f>'Cost Summary'!B18</f>
        <v>17.529086418181731</v>
      </c>
      <c r="E7" s="93">
        <v>14</v>
      </c>
      <c r="F7" s="93">
        <v>10.199999999999999</v>
      </c>
      <c r="G7" s="93">
        <v>6.6</v>
      </c>
      <c r="H7" s="93">
        <v>10.199999999999999</v>
      </c>
      <c r="I7" s="93">
        <v>7.2</v>
      </c>
      <c r="J7" s="86">
        <f>SUM(D7:I7)</f>
        <v>65.729086418181737</v>
      </c>
    </row>
    <row r="8" spans="1:16" x14ac:dyDescent="0.2">
      <c r="A8" s="99" t="s">
        <v>42</v>
      </c>
      <c r="B8" s="99"/>
      <c r="C8" s="99"/>
      <c r="D8" s="23">
        <f>'Cost Summary'!B19</f>
        <v>20.635892831950951</v>
      </c>
      <c r="E8" s="93">
        <v>19.2</v>
      </c>
      <c r="F8" s="93">
        <v>14.700000000000001</v>
      </c>
      <c r="G8" s="93">
        <v>9.6</v>
      </c>
      <c r="H8" s="93">
        <v>14.700000000000001</v>
      </c>
      <c r="I8" s="93">
        <v>9.8000000000000007</v>
      </c>
      <c r="J8" s="86">
        <f>SUM(D8:I8)</f>
        <v>88.635892831950954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22"/>
  <sheetViews>
    <sheetView workbookViewId="0">
      <selection activeCell="H13" sqref="H13"/>
    </sheetView>
  </sheetViews>
  <sheetFormatPr defaultRowHeight="12.75" x14ac:dyDescent="0.2"/>
  <cols>
    <col min="1" max="1" width="33.5703125" style="7" customWidth="1"/>
    <col min="2" max="2" width="19.7109375" style="7" customWidth="1"/>
    <col min="3" max="3" width="20.85546875" style="7" customWidth="1"/>
    <col min="4" max="4" width="20.28515625" style="7" customWidth="1"/>
    <col min="5" max="6" width="22.85546875" style="7" customWidth="1"/>
    <col min="7" max="7" width="18.140625" style="7" customWidth="1"/>
    <col min="8" max="8" width="20.28515625" style="7" customWidth="1"/>
    <col min="9" max="9" width="9.140625" style="7"/>
    <col min="10" max="10" width="27.85546875" style="7" customWidth="1"/>
    <col min="11" max="11" width="14" style="7" bestFit="1" customWidth="1"/>
    <col min="12" max="12" width="15" style="7" bestFit="1" customWidth="1"/>
    <col min="13" max="13" width="18.42578125" style="7" bestFit="1" customWidth="1"/>
    <col min="14" max="14" width="24.5703125" style="7" customWidth="1"/>
    <col min="15" max="15" width="19.28515625" style="7" customWidth="1"/>
    <col min="16" max="16384" width="9.140625" style="7"/>
  </cols>
  <sheetData>
    <row r="1" spans="1:13" ht="34.5" customHeight="1" thickBot="1" x14ac:dyDescent="0.25">
      <c r="A1" s="101"/>
      <c r="B1" s="30"/>
      <c r="C1" s="31" t="s">
        <v>18</v>
      </c>
      <c r="D1" s="103" t="s">
        <v>19</v>
      </c>
      <c r="E1" s="104"/>
      <c r="F1" s="32"/>
      <c r="G1" s="33"/>
      <c r="H1" s="34" t="s">
        <v>20</v>
      </c>
    </row>
    <row r="2" spans="1:13" ht="39" customHeight="1" thickBot="1" x14ac:dyDescent="0.25">
      <c r="A2" s="102"/>
      <c r="B2" s="35" t="s">
        <v>21</v>
      </c>
      <c r="C2" s="36" t="s">
        <v>22</v>
      </c>
      <c r="D2" s="37" t="s">
        <v>23</v>
      </c>
      <c r="E2" s="38" t="s">
        <v>24</v>
      </c>
      <c r="F2" s="39" t="s">
        <v>25</v>
      </c>
      <c r="G2" s="40" t="s">
        <v>26</v>
      </c>
      <c r="H2" s="41" t="s">
        <v>27</v>
      </c>
      <c r="J2" s="42" t="s">
        <v>28</v>
      </c>
    </row>
    <row r="3" spans="1:13" ht="15" x14ac:dyDescent="0.2">
      <c r="A3" s="43" t="str">
        <f>'1'!A4:C4</f>
        <v>Austin Commercial</v>
      </c>
      <c r="B3" s="44">
        <f>J3*D3</f>
        <v>207693.17293233081</v>
      </c>
      <c r="C3" s="45">
        <v>10000</v>
      </c>
      <c r="D3" s="46">
        <v>6.4000000000000001E-2</v>
      </c>
      <c r="E3" s="45">
        <v>36059</v>
      </c>
      <c r="F3" s="45">
        <f>E3*F9</f>
        <v>288472</v>
      </c>
      <c r="G3" s="47">
        <v>73629</v>
      </c>
      <c r="H3" s="48">
        <f>B3+C3+F3+G3</f>
        <v>579794.17293233075</v>
      </c>
      <c r="J3" s="49">
        <f>(C9-(F3+G3)-C3)/(D3+1)</f>
        <v>3245205.827067669</v>
      </c>
      <c r="K3" s="50"/>
      <c r="L3" s="50"/>
      <c r="M3" s="50"/>
    </row>
    <row r="4" spans="1:13" ht="15" x14ac:dyDescent="0.2">
      <c r="A4" s="43" t="str">
        <f>'1'!A5:C5</f>
        <v>Bartlett Cocke</v>
      </c>
      <c r="B4" s="44">
        <f>J4*D4</f>
        <v>179161.32794701989</v>
      </c>
      <c r="C4" s="51">
        <v>15000</v>
      </c>
      <c r="D4" s="52">
        <v>5.7000000000000002E-2</v>
      </c>
      <c r="E4" s="45">
        <v>53383.56</v>
      </c>
      <c r="F4" s="45">
        <f>E4*F9</f>
        <v>427068.48</v>
      </c>
      <c r="G4" s="53">
        <v>60589</v>
      </c>
      <c r="H4" s="48">
        <f t="shared" ref="H4:H5" si="0">B4+C4+F4+G4</f>
        <v>681818.80794701981</v>
      </c>
      <c r="J4" s="54">
        <f>(C9-(F4+G4)-C4)/(D4+1)</f>
        <v>3143181.1920529804</v>
      </c>
      <c r="K4" s="50"/>
      <c r="L4" s="50"/>
      <c r="M4" s="50"/>
    </row>
    <row r="5" spans="1:13" ht="15" x14ac:dyDescent="0.2">
      <c r="A5" s="43" t="str">
        <f>'1'!A6:C6</f>
        <v>CMC Development</v>
      </c>
      <c r="B5" s="44">
        <f>J5*D5</f>
        <v>66167.254901960783</v>
      </c>
      <c r="C5" s="51">
        <v>17000</v>
      </c>
      <c r="D5" s="52">
        <v>0.02</v>
      </c>
      <c r="E5" s="45">
        <v>36290</v>
      </c>
      <c r="F5" s="45">
        <f>E5*F9</f>
        <v>290320</v>
      </c>
      <c r="G5" s="53">
        <v>143150</v>
      </c>
      <c r="H5" s="48">
        <f t="shared" si="0"/>
        <v>516637.25490196078</v>
      </c>
      <c r="J5" s="54">
        <f>(C9-(F5+G5)-C5)/(D5+1)</f>
        <v>3308362.745098039</v>
      </c>
      <c r="K5" s="50"/>
      <c r="L5" s="50"/>
      <c r="M5" s="50"/>
    </row>
    <row r="6" spans="1:13" ht="15" x14ac:dyDescent="0.2">
      <c r="A6" s="43" t="str">
        <f>'1'!A7:C7</f>
        <v>Vaughn Construction</v>
      </c>
      <c r="B6" s="44">
        <f>J6*D6</f>
        <v>208817.8735362998</v>
      </c>
      <c r="C6" s="45">
        <v>19750</v>
      </c>
      <c r="D6" s="46">
        <v>6.7500000000000004E-2</v>
      </c>
      <c r="E6" s="45">
        <v>53939</v>
      </c>
      <c r="F6" s="45">
        <f>E6*F9</f>
        <v>431512</v>
      </c>
      <c r="G6" s="47">
        <v>71322</v>
      </c>
      <c r="H6" s="48">
        <f>B6+C6+F6+G6</f>
        <v>731401.8735362998</v>
      </c>
      <c r="J6" s="49">
        <f>(C9-(F6+G6)-C6)/(D6+1)</f>
        <v>3093598.1264637006</v>
      </c>
      <c r="K6" s="50"/>
      <c r="L6" s="50"/>
      <c r="M6" s="50"/>
    </row>
    <row r="7" spans="1:13" ht="15" x14ac:dyDescent="0.2">
      <c r="A7" s="43" t="str">
        <f>'1'!A8:C8</f>
        <v>Whiting-Turner</v>
      </c>
      <c r="B7" s="44">
        <f>J7*D7</f>
        <v>208652.80896558191</v>
      </c>
      <c r="C7" s="51">
        <v>15000</v>
      </c>
      <c r="D7" s="52">
        <v>6.6299999999999998E-2</v>
      </c>
      <c r="E7" s="45">
        <v>49745</v>
      </c>
      <c r="F7" s="45">
        <f>E7*F9</f>
        <v>397960</v>
      </c>
      <c r="G7" s="53">
        <v>56286</v>
      </c>
      <c r="H7" s="48">
        <f t="shared" ref="H7" si="1">B7+C7+F7+G7</f>
        <v>677898.80896558193</v>
      </c>
      <c r="J7" s="54">
        <f>(C9-(F7+G7)-C7)/(D7+1)</f>
        <v>3147101.1910344181</v>
      </c>
      <c r="K7" s="50"/>
      <c r="L7" s="50"/>
      <c r="M7" s="50"/>
    </row>
    <row r="8" spans="1:13" ht="13.5" thickBot="1" x14ac:dyDescent="0.25">
      <c r="A8" s="55"/>
      <c r="B8" s="55"/>
      <c r="C8" s="56"/>
      <c r="D8" s="56"/>
      <c r="E8" s="56"/>
      <c r="F8" s="56"/>
      <c r="G8" s="56"/>
      <c r="H8" s="56"/>
    </row>
    <row r="9" spans="1:13" ht="15.75" thickBot="1" x14ac:dyDescent="0.25">
      <c r="A9" s="55"/>
      <c r="B9" s="57" t="s">
        <v>29</v>
      </c>
      <c r="C9" s="58">
        <v>3825000</v>
      </c>
      <c r="E9" s="59" t="s">
        <v>30</v>
      </c>
      <c r="F9" s="87">
        <v>8</v>
      </c>
      <c r="G9" s="59" t="s">
        <v>31</v>
      </c>
      <c r="H9" s="60">
        <f>MIN(H3:H7)</f>
        <v>516637.25490196078</v>
      </c>
    </row>
    <row r="10" spans="1:13" x14ac:dyDescent="0.2">
      <c r="B10" s="61"/>
    </row>
    <row r="11" spans="1:13" x14ac:dyDescent="0.2">
      <c r="A11" s="55"/>
      <c r="B11" s="62"/>
      <c r="C11" s="62"/>
      <c r="D11" s="55"/>
      <c r="E11" s="55"/>
      <c r="F11" s="55"/>
      <c r="G11" s="55"/>
    </row>
    <row r="12" spans="1:13" ht="15.75" thickBot="1" x14ac:dyDescent="0.3">
      <c r="A12" s="63" t="s">
        <v>32</v>
      </c>
      <c r="B12" s="63" t="s">
        <v>33</v>
      </c>
      <c r="C12" s="63"/>
      <c r="D12" s="63"/>
      <c r="E12" s="63"/>
      <c r="F12" s="63"/>
      <c r="G12" s="63"/>
      <c r="H12" s="63"/>
    </row>
    <row r="13" spans="1:13" ht="21" thickBot="1" x14ac:dyDescent="0.25">
      <c r="A13" s="105" t="s">
        <v>34</v>
      </c>
      <c r="B13" s="106"/>
      <c r="C13" s="106"/>
      <c r="D13" s="106"/>
      <c r="E13" s="107"/>
      <c r="F13" s="64"/>
      <c r="G13" s="55"/>
      <c r="H13" s="65"/>
      <c r="I13" s="65"/>
      <c r="J13" s="65"/>
      <c r="K13" s="66"/>
      <c r="M13" s="65"/>
    </row>
    <row r="14" spans="1:13" ht="13.5" thickBot="1" x14ac:dyDescent="0.25">
      <c r="A14" s="67"/>
      <c r="B14" s="68" t="s">
        <v>16</v>
      </c>
      <c r="C14" s="69" t="s">
        <v>14</v>
      </c>
      <c r="D14" s="70" t="s">
        <v>35</v>
      </c>
      <c r="E14" s="70" t="s">
        <v>36</v>
      </c>
      <c r="F14" s="71"/>
      <c r="G14" s="72"/>
      <c r="H14" s="73"/>
      <c r="I14" s="66"/>
      <c r="J14" s="66"/>
      <c r="K14" s="66"/>
      <c r="L14" s="73"/>
      <c r="M14" s="66"/>
    </row>
    <row r="15" spans="1:13" ht="15" x14ac:dyDescent="0.2">
      <c r="A15" s="74" t="str">
        <f>A3</f>
        <v>Austin Commercial</v>
      </c>
      <c r="B15" s="75">
        <f>((1-(H3-H9)/H9)*30)</f>
        <v>26.332615344840654</v>
      </c>
      <c r="C15" s="76">
        <f>RANK(B15,$B$15:$B$19,0)</f>
        <v>2</v>
      </c>
      <c r="D15" s="77">
        <f>$H$9-H3</f>
        <v>-63156.918030369969</v>
      </c>
      <c r="E15" s="78">
        <f>(-D15/$H$9)</f>
        <v>0.12224615517197823</v>
      </c>
      <c r="F15" s="79"/>
      <c r="G15" s="80"/>
      <c r="H15" s="66"/>
      <c r="I15" s="65"/>
      <c r="J15" s="65"/>
      <c r="K15" s="65"/>
      <c r="L15" s="73"/>
      <c r="M15" s="65"/>
    </row>
    <row r="16" spans="1:13" ht="15" x14ac:dyDescent="0.2">
      <c r="A16" s="74" t="str">
        <f t="shared" ref="A16:A19" si="2">A4</f>
        <v>Bartlett Cocke</v>
      </c>
      <c r="B16" s="81">
        <f>((1-(H4-H9)/H9)*30)</f>
        <v>20.408267030041927</v>
      </c>
      <c r="C16" s="76">
        <f>RANK(B16,$B$15:$B$19,0)</f>
        <v>4</v>
      </c>
      <c r="D16" s="77">
        <f>$H$9-H4</f>
        <v>-165181.55304505903</v>
      </c>
      <c r="E16" s="78">
        <f>(-D16/$H$9)</f>
        <v>0.31972443233193582</v>
      </c>
      <c r="F16" s="79"/>
      <c r="G16" s="80"/>
      <c r="H16" s="66"/>
      <c r="I16" s="65"/>
      <c r="J16" s="65"/>
      <c r="K16" s="65"/>
      <c r="L16" s="73"/>
      <c r="M16" s="65"/>
    </row>
    <row r="17" spans="1:13" ht="15" x14ac:dyDescent="0.2">
      <c r="A17" s="74" t="str">
        <f t="shared" si="2"/>
        <v>CMC Development</v>
      </c>
      <c r="B17" s="81">
        <f>((1-(H5-H9)/H9)*30)</f>
        <v>30</v>
      </c>
      <c r="C17" s="76">
        <f>RANK(B17,$B$15:$B$19,0)</f>
        <v>1</v>
      </c>
      <c r="D17" s="77">
        <f>$H$9-H5</f>
        <v>0</v>
      </c>
      <c r="E17" s="78">
        <f>(-D17/$H$9)</f>
        <v>0</v>
      </c>
      <c r="F17" s="79"/>
      <c r="G17" s="82" t="s">
        <v>20</v>
      </c>
      <c r="H17" s="66"/>
      <c r="I17" s="65"/>
      <c r="J17" s="65"/>
      <c r="K17" s="65"/>
      <c r="L17" s="73"/>
      <c r="M17" s="65"/>
    </row>
    <row r="18" spans="1:13" ht="15" x14ac:dyDescent="0.2">
      <c r="A18" s="74" t="str">
        <f>A6</f>
        <v>Vaughn Construction</v>
      </c>
      <c r="B18" s="75">
        <f>((1-(H6-H9)/H9)*30)</f>
        <v>17.529086418181731</v>
      </c>
      <c r="C18" s="76">
        <f>RANK(B18,$B$15:$B$19,0)</f>
        <v>5</v>
      </c>
      <c r="D18" s="77">
        <f>$H$9-H6</f>
        <v>-214764.61863433901</v>
      </c>
      <c r="E18" s="78">
        <f>(-D18/$H$9)</f>
        <v>0.41569711939394233</v>
      </c>
      <c r="F18" s="79"/>
      <c r="G18" s="82"/>
      <c r="H18" s="66"/>
      <c r="I18" s="65"/>
      <c r="J18" s="65"/>
      <c r="K18" s="65"/>
      <c r="L18" s="73"/>
      <c r="M18" s="65"/>
    </row>
    <row r="19" spans="1:13" ht="15" x14ac:dyDescent="0.2">
      <c r="A19" s="74" t="str">
        <f t="shared" si="2"/>
        <v>Whiting-Turner</v>
      </c>
      <c r="B19" s="81">
        <f>((1-(H7-H9)/H9)*30)</f>
        <v>20.635892831950951</v>
      </c>
      <c r="C19" s="76">
        <f>RANK(B19,$B$15:$B$19,0)</f>
        <v>3</v>
      </c>
      <c r="D19" s="77">
        <f>$H$9-H7</f>
        <v>-161261.55406362115</v>
      </c>
      <c r="E19" s="78">
        <f>(-D19/$H$9)</f>
        <v>0.31213690560163498</v>
      </c>
      <c r="F19" s="79"/>
      <c r="G19" s="82"/>
      <c r="H19" s="66"/>
      <c r="I19" s="65"/>
      <c r="J19" s="65"/>
      <c r="K19" s="65"/>
      <c r="L19" s="73"/>
      <c r="M19" s="65"/>
    </row>
    <row r="20" spans="1:13" x14ac:dyDescent="0.2">
      <c r="H20" s="65"/>
      <c r="I20" s="65"/>
      <c r="J20" s="65"/>
      <c r="K20" s="65"/>
      <c r="L20" s="65"/>
      <c r="M20" s="65"/>
    </row>
    <row r="21" spans="1:13" ht="13.5" thickBot="1" x14ac:dyDescent="0.25">
      <c r="H21" s="65"/>
      <c r="I21" s="65"/>
      <c r="J21" s="65"/>
      <c r="K21" s="65"/>
      <c r="L21" s="65"/>
      <c r="M21" s="65"/>
    </row>
    <row r="22" spans="1:13" ht="135.75" customHeight="1" thickBot="1" x14ac:dyDescent="0.25">
      <c r="F22" s="83" t="s">
        <v>43</v>
      </c>
      <c r="H22" s="84"/>
      <c r="I22" s="65"/>
      <c r="J22" s="85"/>
      <c r="K22" s="85"/>
      <c r="L22" s="85"/>
      <c r="M22" s="85"/>
    </row>
  </sheetData>
  <mergeCells count="3">
    <mergeCell ref="A1:A2"/>
    <mergeCell ref="D1:E1"/>
    <mergeCell ref="A13:E1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5"/>
  <sheetViews>
    <sheetView tabSelected="1" topLeftCell="A2" workbookViewId="0">
      <selection activeCell="F13" sqref="F13"/>
    </sheetView>
  </sheetViews>
  <sheetFormatPr defaultRowHeight="15" x14ac:dyDescent="0.2"/>
  <cols>
    <col min="1" max="1" width="33" style="12" customWidth="1"/>
    <col min="2" max="3" width="7" style="12" bestFit="1" customWidth="1"/>
    <col min="4" max="6" width="7.7109375" style="12" customWidth="1"/>
    <col min="7" max="7" width="8.85546875" style="12" customWidth="1"/>
    <col min="8" max="8" width="7.5703125" style="12" customWidth="1"/>
    <col min="9" max="9" width="8.28515625" style="12" customWidth="1"/>
    <col min="10" max="16384" width="9.140625" style="12"/>
  </cols>
  <sheetData>
    <row r="1" spans="1:9" ht="15.75" x14ac:dyDescent="0.25">
      <c r="A1" s="10" t="s">
        <v>12</v>
      </c>
      <c r="B1" s="11"/>
      <c r="C1" s="10"/>
      <c r="D1" s="10"/>
      <c r="E1" s="10"/>
      <c r="F1" s="10"/>
      <c r="G1" s="10"/>
      <c r="H1" s="10"/>
    </row>
    <row r="2" spans="1:9" ht="6" customHeight="1" x14ac:dyDescent="0.25">
      <c r="A2" s="10"/>
      <c r="B2" s="11"/>
      <c r="C2" s="10"/>
      <c r="D2" s="10"/>
      <c r="E2" s="10"/>
      <c r="F2" s="10"/>
      <c r="G2" s="10"/>
      <c r="H2" s="10"/>
    </row>
    <row r="3" spans="1:9" ht="15.75" x14ac:dyDescent="0.25">
      <c r="A3" s="108" t="s">
        <v>44</v>
      </c>
      <c r="B3" s="108"/>
      <c r="C3" s="108"/>
      <c r="D3" s="108"/>
      <c r="E3" s="108"/>
      <c r="F3" s="108"/>
      <c r="G3" s="108"/>
      <c r="H3" s="108"/>
    </row>
    <row r="4" spans="1:9" x14ac:dyDescent="0.2">
      <c r="A4" s="11"/>
      <c r="B4" s="11"/>
      <c r="C4" s="11"/>
      <c r="D4" s="11"/>
      <c r="E4" s="11"/>
      <c r="F4" s="11"/>
      <c r="G4" s="13"/>
      <c r="H4" s="13"/>
    </row>
    <row r="5" spans="1:9" ht="15.75" x14ac:dyDescent="0.25">
      <c r="G5" s="24" t="s">
        <v>17</v>
      </c>
      <c r="H5" s="14"/>
      <c r="I5" s="24"/>
    </row>
    <row r="6" spans="1:9" s="17" customFormat="1" ht="135" customHeight="1" x14ac:dyDescent="0.2">
      <c r="A6" s="15"/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27" t="s">
        <v>15</v>
      </c>
      <c r="I6" s="12"/>
    </row>
    <row r="7" spans="1:9" ht="16.5" customHeight="1" x14ac:dyDescent="0.2">
      <c r="A7" s="18" t="str">
        <f>'1'!A4:C4</f>
        <v>Austin Commercial</v>
      </c>
      <c r="B7" s="88">
        <f>'1'!J4</f>
        <v>75.332615344840661</v>
      </c>
      <c r="C7" s="88">
        <f>'2'!J4</f>
        <v>85.732615344840639</v>
      </c>
      <c r="D7" s="88">
        <f>'3'!J4</f>
        <v>79.132615344840644</v>
      </c>
      <c r="E7" s="88">
        <f>'4'!J4</f>
        <v>85.582615344840661</v>
      </c>
      <c r="F7" s="88">
        <f>'5'!J4</f>
        <v>84.932615344840642</v>
      </c>
      <c r="G7" s="28">
        <f>AVERAGE(B7:F7)</f>
        <v>82.14261534484065</v>
      </c>
      <c r="H7" s="25"/>
      <c r="I7" s="25"/>
    </row>
    <row r="8" spans="1:9" ht="16.5" customHeight="1" x14ac:dyDescent="0.2">
      <c r="A8" s="18" t="str">
        <f>'1'!A5:C5</f>
        <v>Bartlett Cocke</v>
      </c>
      <c r="B8" s="88">
        <f>'1'!J5</f>
        <v>67.408267030041927</v>
      </c>
      <c r="C8" s="88">
        <f>'2'!J5</f>
        <v>73.708267030041924</v>
      </c>
      <c r="D8" s="88">
        <f>'3'!J5</f>
        <v>63.308267030041925</v>
      </c>
      <c r="E8" s="88">
        <f>'4'!J5</f>
        <v>60.908267030041927</v>
      </c>
      <c r="F8" s="88">
        <f>'5'!J5</f>
        <v>62.608267030041922</v>
      </c>
      <c r="G8" s="29">
        <f>AVERAGE(B8:F8)</f>
        <v>65.588267030041919</v>
      </c>
      <c r="H8" s="26"/>
      <c r="I8" s="26"/>
    </row>
    <row r="9" spans="1:9" ht="16.5" customHeight="1" x14ac:dyDescent="0.2">
      <c r="A9" s="18" t="str">
        <f>'1'!A6:C6</f>
        <v>CMC Development</v>
      </c>
      <c r="B9" s="88">
        <f>'1'!J6</f>
        <v>67</v>
      </c>
      <c r="C9" s="88">
        <f>'2'!J6</f>
        <v>68.599999999999994</v>
      </c>
      <c r="D9" s="88">
        <f>'3'!J6</f>
        <v>73.099999999999994</v>
      </c>
      <c r="E9" s="88">
        <f>'4'!J6</f>
        <v>57.4</v>
      </c>
      <c r="F9" s="88">
        <f>'5'!J6</f>
        <v>40.1</v>
      </c>
      <c r="G9" s="29">
        <f>AVERAGE(B9:F9)</f>
        <v>61.239999999999995</v>
      </c>
      <c r="H9" s="26"/>
      <c r="I9" s="26"/>
    </row>
    <row r="10" spans="1:9" x14ac:dyDescent="0.2">
      <c r="A10" s="18" t="str">
        <f>'1'!A7:C7</f>
        <v>Vaughn Construction</v>
      </c>
      <c r="B10" s="88">
        <f>'1'!J7</f>
        <v>65.029086418181734</v>
      </c>
      <c r="C10" s="88">
        <f>'2'!J7</f>
        <v>76.02908641818172</v>
      </c>
      <c r="D10" s="88">
        <f>'3'!J7</f>
        <v>70.629086418181728</v>
      </c>
      <c r="E10" s="88">
        <f>'4'!J7</f>
        <v>65.529086418181734</v>
      </c>
      <c r="F10" s="88">
        <f>'5'!J7</f>
        <v>65.729086418181737</v>
      </c>
      <c r="G10" s="28">
        <f>AVERAGE(B10:F10)</f>
        <v>68.589086418181722</v>
      </c>
      <c r="H10" s="25"/>
      <c r="I10" s="25"/>
    </row>
    <row r="11" spans="1:9" s="96" customFormat="1" x14ac:dyDescent="0.2">
      <c r="A11" s="94" t="str">
        <f>'1'!A8:C8</f>
        <v>Whiting-Turner</v>
      </c>
      <c r="B11" s="95">
        <f>'1'!J8</f>
        <v>74.635892831950954</v>
      </c>
      <c r="C11" s="95">
        <f>'2'!J8</f>
        <v>82.535892831950946</v>
      </c>
      <c r="D11" s="95">
        <f>'3'!J8</f>
        <v>76.635892831950954</v>
      </c>
      <c r="E11" s="95">
        <f>'4'!J8</f>
        <v>88.885892831950954</v>
      </c>
      <c r="F11" s="95">
        <f>'5'!J8</f>
        <v>88.635892831950954</v>
      </c>
      <c r="G11" s="97">
        <f>AVERAGE(B11:F11)</f>
        <v>82.265892831950964</v>
      </c>
      <c r="H11" s="98"/>
      <c r="I11" s="98"/>
    </row>
    <row r="14" spans="1:9" x14ac:dyDescent="0.2">
      <c r="A14" s="19" t="s">
        <v>13</v>
      </c>
    </row>
    <row r="15" spans="1:9" x14ac:dyDescent="0.2">
      <c r="A15" s="19"/>
    </row>
  </sheetData>
  <mergeCells count="1"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Cost Summary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Eric Shen</cp:lastModifiedBy>
  <cp:lastPrinted>2013-06-21T21:40:12Z</cp:lastPrinted>
  <dcterms:created xsi:type="dcterms:W3CDTF">2013-06-21T21:38:22Z</dcterms:created>
  <dcterms:modified xsi:type="dcterms:W3CDTF">2023-03-10T15:12:50Z</dcterms:modified>
</cp:coreProperties>
</file>