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FE7705E4-1135-4F97-99C8-9E21CCB9A190}" xr6:coauthVersionLast="36" xr6:coauthVersionMax="47" xr10:uidLastSave="{00000000-0000-0000-0000-000000000000}"/>
  <bookViews>
    <workbookView xWindow="0" yWindow="0" windowWidth="28800" windowHeight="14025" tabRatio="722" activeTab="7" xr2:uid="{00000000-000D-0000-FFFF-FFFF00000000}"/>
  </bookViews>
  <sheets>
    <sheet name="1" sheetId="2" r:id="rId1"/>
    <sheet name="2" sheetId="3" r:id="rId2"/>
    <sheet name="3" sheetId="5" r:id="rId3"/>
    <sheet name="4" sheetId="9" r:id="rId4"/>
    <sheet name="5" sheetId="15" r:id="rId5"/>
    <sheet name="HUB" sheetId="18" r:id="rId6"/>
    <sheet name="Cost Summary" sheetId="14" r:id="rId7"/>
    <sheet name="Summary" sheetId="17"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G3" i="14" l="1"/>
  <c r="G4" i="14"/>
  <c r="A8" i="17" l="1"/>
  <c r="A9" i="17"/>
  <c r="A7" i="17"/>
  <c r="G5" i="14" l="1"/>
  <c r="A4" i="14"/>
  <c r="A5" i="14"/>
  <c r="A3" i="14"/>
  <c r="K8" i="17"/>
  <c r="K9" i="17"/>
  <c r="K7" i="17"/>
  <c r="G22" i="14" l="1"/>
  <c r="H22" i="14"/>
  <c r="G23" i="14"/>
  <c r="H23" i="14"/>
  <c r="G24" i="14"/>
  <c r="H24" i="14"/>
  <c r="G25" i="14"/>
  <c r="H25" i="14"/>
  <c r="G26" i="14"/>
  <c r="H26" i="14"/>
  <c r="G27" i="14"/>
  <c r="H27" i="14"/>
  <c r="G28" i="14"/>
  <c r="H28" i="14"/>
  <c r="G29" i="14"/>
  <c r="H29" i="14"/>
  <c r="H21" i="14"/>
  <c r="G21" i="14"/>
  <c r="F22" i="14"/>
  <c r="F23" i="14"/>
  <c r="F24" i="14"/>
  <c r="F25" i="14"/>
  <c r="F26" i="14"/>
  <c r="F27" i="14"/>
  <c r="F28" i="14"/>
  <c r="F29" i="14"/>
  <c r="F21" i="14"/>
  <c r="H20" i="14"/>
  <c r="G20" i="14"/>
  <c r="F20" i="14"/>
  <c r="E20" i="14"/>
  <c r="D20" i="14"/>
  <c r="D30" i="14"/>
  <c r="H30" i="14" l="1"/>
  <c r="E5" i="14" s="1"/>
  <c r="F30" i="14"/>
  <c r="E3" i="14" s="1"/>
  <c r="E30" i="14" l="1"/>
  <c r="G30" i="14"/>
  <c r="E4" i="14" s="1"/>
  <c r="C30" i="14"/>
  <c r="C20" i="14"/>
  <c r="N6" i="17"/>
  <c r="O6" i="17"/>
  <c r="P6" i="17"/>
  <c r="Q6" i="17"/>
  <c r="M6" i="17"/>
  <c r="A15" i="14" l="1"/>
  <c r="F5" i="14"/>
  <c r="J5" i="14" s="1"/>
  <c r="B5" i="14" s="1"/>
  <c r="H5" i="14" s="1"/>
  <c r="F4" i="14"/>
  <c r="J4" i="14" s="1"/>
  <c r="B4" i="14" s="1"/>
  <c r="H4" i="14" s="1"/>
  <c r="A14" i="14"/>
  <c r="F3" i="14"/>
  <c r="J3" i="14" s="1"/>
  <c r="B3" i="14" s="1"/>
  <c r="H3" i="14" s="1"/>
  <c r="A13" i="14"/>
  <c r="H7" i="14" l="1"/>
  <c r="B14" i="14" s="1"/>
  <c r="J5" i="18" l="1"/>
  <c r="K5" i="18" s="1"/>
  <c r="J5" i="9"/>
  <c r="K5" i="9" s="1"/>
  <c r="E8" i="17" s="1"/>
  <c r="P8" i="17" s="1"/>
  <c r="J5" i="3"/>
  <c r="K5" i="3" s="1"/>
  <c r="C8" i="17" s="1"/>
  <c r="N8" i="17" s="1"/>
  <c r="J5" i="5"/>
  <c r="K5" i="5" s="1"/>
  <c r="D8" i="17" s="1"/>
  <c r="O8" i="17" s="1"/>
  <c r="J5" i="15"/>
  <c r="K5" i="15" s="1"/>
  <c r="F8" i="17" s="1"/>
  <c r="Q8" i="17" s="1"/>
  <c r="B15" i="14"/>
  <c r="J5" i="2"/>
  <c r="D15" i="14"/>
  <c r="E15" i="14" s="1"/>
  <c r="D14" i="14"/>
  <c r="E14" i="14" s="1"/>
  <c r="D13" i="14"/>
  <c r="E13" i="14" s="1"/>
  <c r="B13" i="14"/>
  <c r="J4" i="9" l="1"/>
  <c r="K4" i="9" s="1"/>
  <c r="E7" i="17" s="1"/>
  <c r="P7" i="17" s="1"/>
  <c r="J4" i="18"/>
  <c r="K4" i="18" s="1"/>
  <c r="J4" i="3"/>
  <c r="K4" i="3" s="1"/>
  <c r="C7" i="17" s="1"/>
  <c r="N7" i="17" s="1"/>
  <c r="J4" i="5"/>
  <c r="K4" i="5" s="1"/>
  <c r="D7" i="17" s="1"/>
  <c r="O7" i="17" s="1"/>
  <c r="J4" i="15"/>
  <c r="K4" i="15" s="1"/>
  <c r="F7" i="17" s="1"/>
  <c r="Q7" i="17" s="1"/>
  <c r="K5" i="2"/>
  <c r="B8" i="17" s="1"/>
  <c r="J6" i="5"/>
  <c r="K6" i="5" s="1"/>
  <c r="D9" i="17" s="1"/>
  <c r="O9" i="17" s="1"/>
  <c r="J6" i="15"/>
  <c r="K6" i="15" s="1"/>
  <c r="F9" i="17" s="1"/>
  <c r="Q9" i="17" s="1"/>
  <c r="J6" i="18"/>
  <c r="K6" i="18" s="1"/>
  <c r="J6" i="3"/>
  <c r="K6" i="3" s="1"/>
  <c r="C9" i="17" s="1"/>
  <c r="N9" i="17" s="1"/>
  <c r="J6" i="9"/>
  <c r="K6" i="9" s="1"/>
  <c r="E9" i="17" s="1"/>
  <c r="P9" i="17" s="1"/>
  <c r="C13" i="14"/>
  <c r="J4" i="2"/>
  <c r="J6" i="2"/>
  <c r="C15" i="14"/>
  <c r="C14" i="14"/>
  <c r="H8" i="17" l="1"/>
  <c r="M8" i="17"/>
  <c r="R8" i="17" s="1"/>
  <c r="G8" i="17"/>
  <c r="K6" i="2"/>
  <c r="B9" i="17" s="1"/>
  <c r="K4" i="2"/>
  <c r="B7" i="17" s="1"/>
  <c r="M9" i="17" l="1"/>
  <c r="R9" i="17" s="1"/>
  <c r="G9" i="17"/>
  <c r="H9" i="17"/>
  <c r="H7" i="17"/>
  <c r="M7" i="17"/>
  <c r="R7" i="17" s="1"/>
  <c r="G7" i="17"/>
  <c r="S8" i="17" l="1"/>
  <c r="I7" i="17"/>
  <c r="S7" i="17"/>
  <c r="S9" i="17"/>
  <c r="I9" i="17"/>
  <c r="I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Jamil, Hasan R</author>
  </authors>
  <commentList>
    <comment ref="F2" authorId="0" shapeId="0" xr:uid="{67EC9E23-82BE-4E98-BB4C-DE4C4942A08A}">
      <text>
        <r>
          <rPr>
            <b/>
            <sz val="9"/>
            <color indexed="81"/>
            <rFont val="Tahoma"/>
            <family val="2"/>
          </rPr>
          <t>NOTE:</t>
        </r>
        <r>
          <rPr>
            <sz val="9"/>
            <color indexed="81"/>
            <rFont val="Tahoma"/>
            <charset val="1"/>
          </rPr>
          <t xml:space="preserve">  Purchasing is basing the monthly Staffing Amt given by facilities on 21 months stated in the RFP from November 2025 to August 2027 (Construction Start to Final Completion)</t>
        </r>
      </text>
    </comment>
    <comment ref="H2" authorId="1" shapeId="0" xr:uid="{00000000-0006-0000-0700-000001000000}">
      <text>
        <r>
          <rPr>
            <b/>
            <sz val="9"/>
            <color indexed="81"/>
            <rFont val="Tahoma"/>
            <family val="2"/>
          </rPr>
          <t xml:space="preserve">Fromula
Fee on CCL + Pre-Construction Phase Fee + Staff Amt 24 Months Term + Bonds and Insurance Amt
</t>
        </r>
      </text>
    </comment>
    <comment ref="J2" authorId="1" shapeId="0" xr:uid="{00000000-0006-0000-0700-000002000000}">
      <text>
        <r>
          <rPr>
            <b/>
            <sz val="9"/>
            <color indexed="81"/>
            <rFont val="Tahoma"/>
            <family val="2"/>
          </rPr>
          <t>COW Calculation</t>
        </r>
        <r>
          <rPr>
            <sz val="9"/>
            <color indexed="81"/>
            <rFont val="Tahoma"/>
            <family val="2"/>
          </rPr>
          <t xml:space="preserve">
COW = ((CCL)–(staff+bonds)–(Precon))/(fee%+1)</t>
        </r>
      </text>
    </comment>
    <comment ref="B12" authorId="1"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9B083EC-DE8E-4ADC-AA9C-9F8D3D0E4A1C}">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73007E3D-FD91-420D-BAD1-955DA49B33C1}">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<sst xmlns="http://schemas.openxmlformats.org/spreadsheetml/2006/main" count="156" uniqueCount="85">
  <si>
    <t xml:space="preserve">RESPONDENT SUMMARY </t>
  </si>
  <si>
    <t>Criteria 1</t>
  </si>
  <si>
    <t>Criteria 2</t>
  </si>
  <si>
    <t>Criteria 3</t>
  </si>
  <si>
    <t>Criteria 4</t>
  </si>
  <si>
    <t>Criteria 5</t>
  </si>
  <si>
    <t>Rank</t>
  </si>
  <si>
    <t>Score</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</si>
  <si>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</si>
  <si>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</si>
  <si>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</si>
  <si>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</si>
  <si>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</si>
  <si>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</si>
  <si>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</si>
  <si>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</si>
  <si>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</si>
  <si>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</si>
  <si>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</si>
  <si>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</si>
  <si>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</si>
  <si>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</si>
  <si>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</si>
  <si>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</si>
  <si>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</si>
  <si>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</si>
  <si>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HUB</t>
  </si>
  <si>
    <t>Total Weighted Technical  Score (Average)</t>
  </si>
  <si>
    <t>Rank of  Weighted Technical  Score</t>
  </si>
  <si>
    <t>Weighted HUB Score</t>
  </si>
  <si>
    <t>Total Weighted Score</t>
  </si>
  <si>
    <t>Rank of Tech + HUB</t>
  </si>
  <si>
    <t>Staff Amt Total</t>
  </si>
  <si>
    <t>Project Executive</t>
  </si>
  <si>
    <t>Project Manager</t>
  </si>
  <si>
    <t>Superintendent</t>
  </si>
  <si>
    <t>Asst Superintendent</t>
  </si>
  <si>
    <t>Project Engineer</t>
  </si>
  <si>
    <t>Project Scheduler</t>
  </si>
  <si>
    <t>Quality Control</t>
  </si>
  <si>
    <t>Safety</t>
  </si>
  <si>
    <t>Project Administrator</t>
  </si>
  <si>
    <t>Personnel Number</t>
  </si>
  <si>
    <t>Loaded Salary Rate Submitted</t>
  </si>
  <si>
    <t>Total Salary Rate</t>
  </si>
  <si>
    <t>Criteria 6 (HUB)</t>
  </si>
  <si>
    <t>Criteria 7 (Cost)</t>
  </si>
  <si>
    <t>Total (minus HUB)</t>
  </si>
  <si>
    <t>Kitchell</t>
  </si>
  <si>
    <t>Harvey Cleary</t>
  </si>
  <si>
    <t>Vaughn Construction</t>
  </si>
  <si>
    <t>RFP730-24086 CMAR NEW MEDICAL RESEARCH BUILDING step 2</t>
  </si>
  <si>
    <t>Technical + Cost</t>
  </si>
  <si>
    <t>Final Score (Tech+Cost+HUB)</t>
  </si>
  <si>
    <t>Total Weighted Technical  Score (Sum)</t>
  </si>
  <si>
    <t>SHORTLIST EVALUATION SUMMARY</t>
  </si>
  <si>
    <t>University of Houston Evaluation Matrix $1 Million+</t>
  </si>
  <si>
    <t>Name</t>
  </si>
  <si>
    <t>Evaluation Due Date</t>
  </si>
  <si>
    <t>February 27, 2025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</si>
  <si>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</si>
  <si>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</si>
  <si>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</si>
  <si>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</si>
  <si>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</si>
  <si>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</si>
  <si>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</si>
  <si>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</si>
  <si>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</si>
  <si>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</si>
  <si>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</si>
  <si>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Respondent’s Relevant Experience and Capabilities (Section 4.3)</t>
  </si>
  <si>
    <t>Qualifications of Respondent’s Project Team (Section 4.4)</t>
  </si>
  <si>
    <t>Respondent’s Ability to Estimate and Control Costs (Section 4.5)</t>
  </si>
  <si>
    <t>Respondent’s Ability to Meet the Schedule for this Project (Section 4.6)</t>
  </si>
  <si>
    <t>Respondent’s Ability to Manage this Project (Section 4.7)</t>
  </si>
  <si>
    <t>Respondent’s Past HUB/MBE/WBE Goal Attainment and Quality of Procedures for UHS HUB Goal Attainment on this Project (Section 4.8)
ONLY HUB WILL SCORE - EVERYONE ELSE LEAVE BLANK</t>
  </si>
  <si>
    <t>Respondent’s Cost and Delivery Proposal (Section 4.9)
PURCHASING WILL SCORE - EVERYONE ELSE LEAVE BLANK</t>
  </si>
  <si>
    <t>Points (1-5)</t>
  </si>
  <si>
    <t>Updated: 10/19</t>
  </si>
  <si>
    <t>Evaluator 1</t>
  </si>
  <si>
    <t>Evaluator 2</t>
  </si>
  <si>
    <t>Evaluator 3</t>
  </si>
  <si>
    <t>Evaluator 4</t>
  </si>
  <si>
    <t>Evaluator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</si>
</sst>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quot;$&quot;* #,##0_);_(&quot;$&quot;* \(#,##0\);_(&quot;$&quot;* &quot;-&quot;??_);_(@_)"/>
    <numFmt numFmtId="167" formatCode="[$-F800]dddd\,\ mmmm\ dd\,\ yyyy"/>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11"/>
      <color rgb="FFFF0000"/>
      <name val="Arial"/>
      <family val="2"/>
    </font>
    <font>
      <strike/>
      <sz val="12"/>
      <color rgb="FFFF0000"/>
      <name val="Arial"/>
      <family val="2"/>
    </font>
    <font>
      <sz val="8"/>
      <name val="Arial"/>
    </font>
    <font>
      <sz val="9"/>
      <color indexed="81"/>
      <name val="Tahoma"/>
      <charset val="1"/>
    </font>
    <font>
      <sz val="10"/>
      <name val="Arial"/>
    </font>
    <font>
      <sz val="10"/>
      <color theme="1"/>
      <name val="Calibri"/>
      <family val="2"/>
      <scheme val="minor"/>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9"/>
      <name val="Arial"/>
      <family val="2"/>
    </font>
    <font>
      <b/>
      <sz val="10"/>
      <color rgb="FF000000"/>
      <name val="Arial"/>
      <family val="2"/>
    </font>
    <font>
      <strike/>
      <sz val="10"/>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6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auto="1"/>
      </left>
      <right style="medium">
        <color indexed="64"/>
      </right>
      <top style="medium">
        <color indexed="64"/>
      </top>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auto="1"/>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8">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9" fillId="0" borderId="0" applyFont="0" applyFill="0" applyBorder="0" applyAlignment="0" applyProtection="0"/>
    <xf numFmtId="0" fontId="4" fillId="0" borderId="0"/>
    <xf numFmtId="0" fontId="3" fillId="0" borderId="0"/>
    <xf numFmtId="44" fontId="61" fillId="0" borderId="0" applyFont="0" applyFill="0" applyBorder="0" applyAlignment="0" applyProtection="0"/>
    <xf numFmtId="0" fontId="2" fillId="0" borderId="0"/>
    <xf numFmtId="0" fontId="38" fillId="0" borderId="51" applyNumberFormat="0" applyFill="0" applyAlignment="0" applyProtection="0"/>
    <xf numFmtId="0" fontId="36" fillId="21" borderId="50" applyNumberFormat="0" applyAlignment="0" applyProtection="0"/>
    <xf numFmtId="0" fontId="33" fillId="8" borderId="48" applyNumberFormat="0" applyAlignment="0" applyProtection="0"/>
    <xf numFmtId="0" fontId="26" fillId="21" borderId="48" applyNumberFormat="0" applyAlignment="0" applyProtection="0"/>
    <xf numFmtId="0" fontId="21" fillId="2" borderId="49" applyNumberFormat="0" applyFont="0" applyAlignment="0" applyProtection="0"/>
    <xf numFmtId="0" fontId="2" fillId="0" borderId="0"/>
    <xf numFmtId="0" fontId="21" fillId="2" borderId="49" applyNumberFormat="0" applyFont="0" applyAlignment="0" applyProtection="0"/>
    <xf numFmtId="0" fontId="38" fillId="0" borderId="51" applyNumberFormat="0" applyFill="0" applyAlignment="0" applyProtection="0"/>
    <xf numFmtId="0" fontId="36" fillId="21" borderId="50" applyNumberFormat="0" applyAlignment="0" applyProtection="0"/>
    <xf numFmtId="0" fontId="33" fillId="8" borderId="48" applyNumberFormat="0" applyAlignment="0" applyProtection="0"/>
    <xf numFmtId="0" fontId="26" fillId="21" borderId="48" applyNumberFormat="0" applyAlignment="0" applyProtection="0"/>
    <xf numFmtId="9" fontId="2" fillId="0" borderId="0" applyFont="0" applyFill="0" applyBorder="0" applyAlignment="0" applyProtection="0"/>
    <xf numFmtId="0" fontId="21" fillId="2" borderId="49" applyNumberFormat="0" applyFont="0" applyAlignment="0" applyProtection="0"/>
    <xf numFmtId="0" fontId="1" fillId="0" borderId="0"/>
    <xf numFmtId="0" fontId="63" fillId="0" borderId="0" applyNumberFormat="0" applyFill="0" applyBorder="0" applyAlignment="0" applyProtection="0"/>
  </cellStyleXfs>
  <cellXfs count="210">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left"/>
    </xf>
    <xf numFmtId="0" fontId="21" fillId="0" borderId="0" xfId="98"/>
    <xf numFmtId="0" fontId="45" fillId="0" borderId="10" xfId="100" applyFont="1" applyBorder="1" applyAlignment="1">
      <alignment horizontal="right"/>
    </xf>
    <xf numFmtId="0" fontId="47" fillId="0" borderId="10" xfId="100" applyFont="1" applyBorder="1" applyAlignment="1">
      <alignment horizontal="right"/>
    </xf>
    <xf numFmtId="2" fontId="21" fillId="0" borderId="0" xfId="98" applyNumberFormat="1"/>
    <xf numFmtId="0" fontId="45" fillId="0" borderId="0" xfId="0" applyFont="1" applyAlignment="1">
      <alignment horizontal="center" vertical="center" wrapText="1"/>
    </xf>
    <xf numFmtId="0" fontId="51" fillId="26" borderId="15"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0" fillId="27" borderId="18" xfId="0" applyFill="1" applyBorder="1"/>
    <xf numFmtId="0" fontId="52" fillId="0" borderId="13" xfId="0" applyFont="1" applyBorder="1" applyAlignment="1">
      <alignment horizontal="center" vertical="center" wrapText="1"/>
    </xf>
    <xf numFmtId="0" fontId="45" fillId="0" borderId="16" xfId="0" applyFont="1" applyBorder="1" applyAlignment="1">
      <alignment horizontal="center" vertical="center" wrapText="1"/>
    </xf>
    <xf numFmtId="0" fontId="45" fillId="26" borderId="15" xfId="0" applyFont="1" applyFill="1" applyBorder="1" applyAlignment="1">
      <alignment horizontal="center" vertical="center" wrapText="1"/>
    </xf>
    <xf numFmtId="0" fontId="45" fillId="27" borderId="16" xfId="0" applyFont="1" applyFill="1" applyBorder="1" applyAlignment="1">
      <alignment horizontal="center" vertical="center" wrapText="1"/>
    </xf>
    <xf numFmtId="0" fontId="45" fillId="27" borderId="20" xfId="0" applyFont="1" applyFill="1" applyBorder="1" applyAlignment="1">
      <alignment horizontal="center" vertical="center" wrapText="1"/>
    </xf>
    <xf numFmtId="0" fontId="45" fillId="27" borderId="21" xfId="0" applyFont="1" applyFill="1" applyBorder="1" applyAlignment="1">
      <alignment horizontal="center" vertical="center" wrapText="1"/>
    </xf>
    <xf numFmtId="0" fontId="50" fillId="27" borderId="22" xfId="0" applyFont="1" applyFill="1" applyBorder="1" applyAlignment="1">
      <alignment vertical="center" wrapText="1"/>
    </xf>
    <xf numFmtId="0" fontId="53" fillId="0" borderId="23" xfId="0" applyFont="1" applyBorder="1" applyAlignment="1">
      <alignment horizontal="center" vertical="center" wrapText="1"/>
    </xf>
    <xf numFmtId="0" fontId="50" fillId="28" borderId="23" xfId="0" applyFont="1" applyFill="1" applyBorder="1" applyAlignment="1">
      <alignment horizontal="center" vertical="center" wrapText="1"/>
    </xf>
    <xf numFmtId="0" fontId="21" fillId="0" borderId="24" xfId="2" applyBorder="1"/>
    <xf numFmtId="44" fontId="21" fillId="0" borderId="25" xfId="108" applyFont="1" applyFill="1" applyBorder="1" applyAlignment="1"/>
    <xf numFmtId="164" fontId="0" fillId="24" borderId="25" xfId="0" applyNumberFormat="1" applyFill="1" applyBorder="1" applyAlignment="1">
      <alignment vertical="center"/>
    </xf>
    <xf numFmtId="10" fontId="0" fillId="24" borderId="25" xfId="0" applyNumberFormat="1" applyFill="1" applyBorder="1" applyAlignment="1">
      <alignment horizontal="center" vertical="center"/>
    </xf>
    <xf numFmtId="164" fontId="52" fillId="24" borderId="25" xfId="0" applyNumberFormat="1" applyFont="1" applyFill="1" applyBorder="1" applyAlignment="1">
      <alignment vertical="center"/>
    </xf>
    <xf numFmtId="164" fontId="46" fillId="0" borderId="25" xfId="0" applyNumberFormat="1" applyFont="1" applyBorder="1" applyAlignment="1">
      <alignment vertical="center"/>
    </xf>
    <xf numFmtId="165" fontId="0" fillId="0" borderId="25" xfId="0" applyNumberFormat="1" applyBorder="1"/>
    <xf numFmtId="165" fontId="0" fillId="0" borderId="0" xfId="0" applyNumberFormat="1"/>
    <xf numFmtId="164" fontId="0" fillId="24" borderId="24" xfId="0" applyNumberFormat="1" applyFill="1" applyBorder="1" applyAlignment="1">
      <alignment vertical="center"/>
    </xf>
    <xf numFmtId="10" fontId="0" fillId="24" borderId="24" xfId="0" applyNumberFormat="1" applyFill="1" applyBorder="1" applyAlignment="1">
      <alignment horizontal="center" vertical="center"/>
    </xf>
    <xf numFmtId="164" fontId="52" fillId="24" borderId="24" xfId="0" applyNumberFormat="1" applyFont="1" applyFill="1" applyBorder="1" applyAlignment="1">
      <alignment vertical="center"/>
    </xf>
    <xf numFmtId="165" fontId="0" fillId="0" borderId="24" xfId="0" applyNumberFormat="1" applyBorder="1"/>
    <xf numFmtId="0" fontId="0" fillId="0" borderId="0" xfId="0" applyAlignment="1">
      <alignment vertical="center"/>
    </xf>
    <xf numFmtId="164" fontId="0" fillId="0" borderId="0" xfId="0" applyNumberFormat="1" applyAlignment="1">
      <alignment vertical="center"/>
    </xf>
    <xf numFmtId="0" fontId="45" fillId="0" borderId="0" xfId="0" applyFont="1" applyAlignment="1">
      <alignment horizontal="right" vertical="center"/>
    </xf>
    <xf numFmtId="164" fontId="45" fillId="0" borderId="0" xfId="0" applyNumberFormat="1" applyFont="1" applyAlignment="1">
      <alignment horizontal="right" vertical="center"/>
    </xf>
    <xf numFmtId="164" fontId="54" fillId="0" borderId="15" xfId="0" applyNumberFormat="1" applyFont="1" applyBorder="1" applyAlignment="1">
      <alignment vertical="center"/>
    </xf>
    <xf numFmtId="0" fontId="21" fillId="0" borderId="0" xfId="0" applyFont="1" applyAlignment="1">
      <alignment horizontal="right"/>
    </xf>
    <xf numFmtId="43" fontId="21" fillId="0" borderId="0" xfId="106" applyFont="1" applyFill="1" applyAlignment="1">
      <alignment vertical="center"/>
    </xf>
    <xf numFmtId="0" fontId="4" fillId="0" borderId="0" xfId="109"/>
    <xf numFmtId="0" fontId="55" fillId="0" borderId="0" xfId="0" applyFont="1" applyAlignment="1">
      <alignment horizontal="center" vertical="center"/>
    </xf>
    <xf numFmtId="0" fontId="21" fillId="0" borderId="15" xfId="0" applyFont="1" applyBorder="1" applyAlignment="1">
      <alignment vertical="center"/>
    </xf>
    <xf numFmtId="0" fontId="47" fillId="0" borderId="15" xfId="0" applyFont="1" applyBorder="1" applyAlignment="1">
      <alignment horizontal="center" vertical="center"/>
    </xf>
    <xf numFmtId="0" fontId="45" fillId="0" borderId="15"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0" fontId="45" fillId="0" borderId="0" xfId="0" applyFont="1"/>
    <xf numFmtId="0" fontId="21" fillId="0" borderId="26" xfId="2" applyBorder="1"/>
    <xf numFmtId="2" fontId="47" fillId="0" borderId="25" xfId="0" applyNumberFormat="1" applyFont="1" applyBorder="1" applyAlignment="1">
      <alignment horizontal="center" vertical="center"/>
    </xf>
    <xf numFmtId="1" fontId="45" fillId="0" borderId="25" xfId="0" applyNumberFormat="1" applyFont="1" applyBorder="1" applyAlignment="1">
      <alignment horizontal="center" vertical="center"/>
    </xf>
    <xf numFmtId="44" fontId="0" fillId="0" borderId="25" xfId="0" applyNumberFormat="1" applyBorder="1" applyAlignment="1">
      <alignment horizontal="center" vertical="center"/>
    </xf>
    <xf numFmtId="10" fontId="50" fillId="0" borderId="27" xfId="0" applyNumberFormat="1" applyFont="1" applyBorder="1" applyAlignment="1">
      <alignment horizontal="center" vertical="center"/>
    </xf>
    <xf numFmtId="10" fontId="50" fillId="0" borderId="0" xfId="0" applyNumberFormat="1" applyFont="1" applyAlignment="1">
      <alignment horizontal="center" vertical="center"/>
    </xf>
    <xf numFmtId="2" fontId="0" fillId="0" borderId="0" xfId="0" applyNumberFormat="1" applyAlignment="1">
      <alignment horizontal="center" vertical="center"/>
    </xf>
    <xf numFmtId="2" fontId="47" fillId="0" borderId="24" xfId="0" applyNumberFormat="1" applyFont="1" applyBorder="1" applyAlignment="1">
      <alignment horizontal="center" vertical="center"/>
    </xf>
    <xf numFmtId="2" fontId="21" fillId="0" borderId="0" xfId="0" applyNumberFormat="1" applyFont="1" applyAlignment="1">
      <alignment horizontal="center" vertical="center"/>
    </xf>
    <xf numFmtId="0" fontId="50" fillId="0" borderId="0" xfId="109" applyFont="1" applyAlignment="1">
      <alignment vertical="top" wrapText="1"/>
    </xf>
    <xf numFmtId="0" fontId="4" fillId="0" borderId="0" xfId="109" applyAlignment="1">
      <alignment horizontal="left" vertical="top" wrapText="1"/>
    </xf>
    <xf numFmtId="2" fontId="46" fillId="0" borderId="0" xfId="0" applyNumberFormat="1" applyFont="1"/>
    <xf numFmtId="0" fontId="0" fillId="24" borderId="0" xfId="0" applyFill="1"/>
    <xf numFmtId="0" fontId="41" fillId="25" borderId="0" xfId="0" applyFont="1" applyFill="1" applyAlignment="1">
      <alignment horizontal="left"/>
    </xf>
    <xf numFmtId="0" fontId="19" fillId="25" borderId="28" xfId="0" applyFont="1" applyFill="1" applyBorder="1" applyAlignment="1">
      <alignment horizontal="left"/>
    </xf>
    <xf numFmtId="0" fontId="19" fillId="25" borderId="28" xfId="0" applyFont="1" applyFill="1" applyBorder="1"/>
    <xf numFmtId="0" fontId="41" fillId="25" borderId="14" xfId="0" applyFont="1" applyFill="1" applyBorder="1" applyAlignment="1">
      <alignment horizontal="right" textRotation="90" wrapText="1"/>
    </xf>
    <xf numFmtId="0" fontId="41" fillId="25" borderId="13" xfId="0" applyFont="1" applyFill="1" applyBorder="1" applyAlignment="1">
      <alignment horizontal="right" textRotation="90" wrapText="1"/>
    </xf>
    <xf numFmtId="0" fontId="57" fillId="25" borderId="29" xfId="0" applyFont="1" applyFill="1" applyBorder="1" applyAlignment="1">
      <alignment horizontal="right" textRotation="90" wrapText="1"/>
    </xf>
    <xf numFmtId="0" fontId="57" fillId="25" borderId="30" xfId="0" applyFont="1" applyFill="1" applyBorder="1" applyAlignment="1">
      <alignment horizontal="right" textRotation="90" wrapText="1"/>
    </xf>
    <xf numFmtId="0" fontId="41" fillId="25" borderId="31" xfId="0" applyFont="1" applyFill="1" applyBorder="1" applyAlignment="1">
      <alignment horizontal="right" textRotation="90" wrapText="1"/>
    </xf>
    <xf numFmtId="0" fontId="41" fillId="25" borderId="0" xfId="0" applyFont="1" applyFill="1" applyAlignment="1">
      <alignment horizontal="right" textRotation="90" wrapText="1"/>
    </xf>
    <xf numFmtId="0" fontId="57" fillId="25" borderId="31" xfId="0" applyFont="1" applyFill="1" applyBorder="1" applyAlignment="1">
      <alignment horizontal="right" textRotation="90" wrapText="1"/>
    </xf>
    <xf numFmtId="0" fontId="41" fillId="29" borderId="31" xfId="0" applyFont="1" applyFill="1" applyBorder="1" applyAlignment="1">
      <alignment horizontal="right" textRotation="90" wrapText="1"/>
    </xf>
    <xf numFmtId="0" fontId="41" fillId="0" borderId="0" xfId="0" applyFont="1" applyAlignment="1">
      <alignment horizontal="right" textRotation="90" wrapText="1"/>
    </xf>
    <xf numFmtId="4" fontId="40" fillId="25" borderId="34" xfId="0" applyNumberFormat="1" applyFont="1" applyFill="1" applyBorder="1" applyAlignment="1">
      <alignment horizontal="right"/>
    </xf>
    <xf numFmtId="0" fontId="20" fillId="29" borderId="34" xfId="0" applyFont="1" applyFill="1" applyBorder="1" applyAlignment="1">
      <alignment horizontal="right"/>
    </xf>
    <xf numFmtId="0" fontId="58" fillId="25" borderId="0" xfId="0" applyFont="1" applyFill="1"/>
    <xf numFmtId="0" fontId="40" fillId="25" borderId="0" xfId="0" applyFont="1" applyFill="1"/>
    <xf numFmtId="164" fontId="0" fillId="0" borderId="25" xfId="0" applyNumberFormat="1" applyBorder="1" applyAlignment="1">
      <alignment vertical="center"/>
    </xf>
    <xf numFmtId="0" fontId="41" fillId="0" borderId="0" xfId="2" applyFont="1" applyAlignment="1">
      <alignment horizontal="left"/>
    </xf>
    <xf numFmtId="0" fontId="19" fillId="0" borderId="0" xfId="2" applyFont="1" applyAlignment="1">
      <alignment horizontal="left"/>
    </xf>
    <xf numFmtId="0" fontId="19" fillId="0" borderId="0" xfId="2" applyFont="1"/>
    <xf numFmtId="0" fontId="21" fillId="0" borderId="0" xfId="2"/>
    <xf numFmtId="4" fontId="40" fillId="25" borderId="22" xfId="0" applyNumberFormat="1" applyFont="1" applyFill="1" applyBorder="1" applyAlignment="1">
      <alignment horizontal="right"/>
    </xf>
    <xf numFmtId="0" fontId="20" fillId="29" borderId="22" xfId="0" applyFont="1" applyFill="1" applyBorder="1" applyAlignment="1">
      <alignment horizontal="right"/>
    </xf>
    <xf numFmtId="0" fontId="62" fillId="0" borderId="37" xfId="0" applyFont="1" applyBorder="1" applyAlignment="1">
      <alignment horizontal="left"/>
    </xf>
    <xf numFmtId="0" fontId="62" fillId="0" borderId="38" xfId="0" applyFont="1" applyBorder="1" applyAlignment="1">
      <alignment horizontal="left"/>
    </xf>
    <xf numFmtId="0" fontId="62" fillId="0" borderId="39" xfId="0" applyFont="1" applyBorder="1" applyAlignment="1">
      <alignment horizontal="left"/>
    </xf>
    <xf numFmtId="0" fontId="62" fillId="0" borderId="40" xfId="0" applyFont="1" applyBorder="1" applyAlignment="1">
      <alignment horizontal="left"/>
    </xf>
    <xf numFmtId="166" fontId="0" fillId="0" borderId="41" xfId="111" applyNumberFormat="1" applyFont="1" applyBorder="1"/>
    <xf numFmtId="166" fontId="0" fillId="0" borderId="10" xfId="111" applyNumberFormat="1" applyFont="1" applyBorder="1"/>
    <xf numFmtId="0" fontId="45" fillId="0" borderId="42" xfId="0" applyFont="1" applyBorder="1" applyAlignment="1">
      <alignment horizontal="centerContinuous"/>
    </xf>
    <xf numFmtId="0" fontId="45" fillId="0" borderId="43" xfId="0" applyFont="1" applyBorder="1" applyAlignment="1">
      <alignment horizontal="centerContinuous"/>
    </xf>
    <xf numFmtId="0" fontId="45" fillId="0" borderId="44" xfId="0" applyFont="1" applyBorder="1" applyAlignment="1">
      <alignment horizontal="centerContinuous"/>
    </xf>
    <xf numFmtId="166" fontId="0" fillId="0" borderId="45" xfId="111" applyNumberFormat="1" applyFont="1" applyBorder="1"/>
    <xf numFmtId="166" fontId="0" fillId="0" borderId="0" xfId="111" applyNumberFormat="1" applyFont="1" applyBorder="1"/>
    <xf numFmtId="166" fontId="0" fillId="0" borderId="46" xfId="111" applyNumberFormat="1" applyFont="1" applyBorder="1"/>
    <xf numFmtId="166" fontId="0" fillId="0" borderId="47" xfId="111" applyNumberFormat="1" applyFont="1" applyBorder="1"/>
    <xf numFmtId="0" fontId="0" fillId="0" borderId="43" xfId="0" applyBorder="1" applyAlignment="1">
      <alignment horizontal="centerContinuous"/>
    </xf>
    <xf numFmtId="0" fontId="0" fillId="0" borderId="44" xfId="0" applyBorder="1" applyAlignment="1">
      <alignment horizontal="centerContinuous"/>
    </xf>
    <xf numFmtId="0" fontId="45" fillId="0" borderId="45" xfId="0" applyFont="1" applyBorder="1" applyAlignment="1">
      <alignment horizontal="right"/>
    </xf>
    <xf numFmtId="0" fontId="45" fillId="0" borderId="0" xfId="0" applyFont="1" applyAlignment="1">
      <alignment horizontal="right"/>
    </xf>
    <xf numFmtId="0" fontId="45" fillId="0" borderId="46" xfId="0" applyFont="1" applyBorder="1" applyAlignment="1">
      <alignment horizontal="right"/>
    </xf>
    <xf numFmtId="164" fontId="0" fillId="0" borderId="24" xfId="0" applyNumberFormat="1" applyBorder="1" applyAlignment="1">
      <alignment vertical="center"/>
    </xf>
    <xf numFmtId="166" fontId="0" fillId="24" borderId="45" xfId="111" applyNumberFormat="1" applyFont="1" applyFill="1" applyBorder="1"/>
    <xf numFmtId="166" fontId="0" fillId="24" borderId="41" xfId="111" applyNumberFormat="1" applyFont="1" applyFill="1" applyBorder="1"/>
    <xf numFmtId="2" fontId="20" fillId="25" borderId="12" xfId="0" applyNumberFormat="1" applyFont="1" applyFill="1" applyBorder="1"/>
    <xf numFmtId="2" fontId="20" fillId="25" borderId="11" xfId="0" applyNumberFormat="1" applyFont="1" applyFill="1" applyBorder="1"/>
    <xf numFmtId="2" fontId="40" fillId="25" borderId="32" xfId="0" applyNumberFormat="1" applyFont="1" applyFill="1" applyBorder="1"/>
    <xf numFmtId="4" fontId="40" fillId="25" borderId="33" xfId="0" applyNumberFormat="1" applyFont="1" applyFill="1" applyBorder="1" applyAlignment="1">
      <alignment horizontal="right"/>
    </xf>
    <xf numFmtId="0" fontId="20" fillId="25" borderId="34" xfId="0" applyFont="1" applyFill="1" applyBorder="1" applyAlignment="1">
      <alignment horizontal="right"/>
    </xf>
    <xf numFmtId="2" fontId="20" fillId="25" borderId="35" xfId="0" applyNumberFormat="1" applyFont="1" applyFill="1" applyBorder="1"/>
    <xf numFmtId="2" fontId="20" fillId="25" borderId="28" xfId="0" applyNumberFormat="1" applyFont="1" applyFill="1" applyBorder="1"/>
    <xf numFmtId="2" fontId="40" fillId="25" borderId="36" xfId="0" applyNumberFormat="1" applyFont="1" applyFill="1" applyBorder="1"/>
    <xf numFmtId="4" fontId="40" fillId="25" borderId="21" xfId="0" applyNumberFormat="1" applyFont="1" applyFill="1" applyBorder="1" applyAlignment="1">
      <alignment horizontal="right"/>
    </xf>
    <xf numFmtId="0" fontId="20" fillId="25" borderId="22" xfId="0" applyFont="1" applyFill="1" applyBorder="1" applyAlignment="1">
      <alignment horizontal="right"/>
    </xf>
    <xf numFmtId="2" fontId="20" fillId="25" borderId="34" xfId="0" applyNumberFormat="1" applyFont="1" applyFill="1" applyBorder="1" applyAlignment="1">
      <alignment horizontal="right"/>
    </xf>
    <xf numFmtId="0" fontId="21" fillId="0" borderId="0" xfId="98"/>
    <xf numFmtId="0" fontId="21" fillId="0" borderId="0" xfId="98"/>
    <xf numFmtId="0" fontId="21" fillId="0" borderId="0" xfId="98"/>
    <xf numFmtId="0" fontId="21" fillId="0" borderId="0" xfId="98"/>
    <xf numFmtId="0" fontId="21" fillId="0" borderId="0" xfId="98"/>
    <xf numFmtId="0" fontId="20" fillId="27" borderId="11" xfId="0" applyFont="1" applyFill="1" applyBorder="1" applyAlignment="1">
      <alignment horizontal="left"/>
    </xf>
    <xf numFmtId="2" fontId="20" fillId="27" borderId="12" xfId="0" applyNumberFormat="1" applyFont="1" applyFill="1" applyBorder="1"/>
    <xf numFmtId="2" fontId="20" fillId="27" borderId="11" xfId="0" applyNumberFormat="1" applyFont="1" applyFill="1" applyBorder="1"/>
    <xf numFmtId="2" fontId="40" fillId="27" borderId="32" xfId="0" applyNumberFormat="1" applyFont="1" applyFill="1" applyBorder="1"/>
    <xf numFmtId="4" fontId="40" fillId="27" borderId="33" xfId="0" applyNumberFormat="1" applyFont="1" applyFill="1" applyBorder="1" applyAlignment="1">
      <alignment horizontal="right"/>
    </xf>
    <xf numFmtId="0" fontId="20" fillId="27" borderId="34" xfId="0" applyFont="1" applyFill="1" applyBorder="1" applyAlignment="1">
      <alignment horizontal="right"/>
    </xf>
    <xf numFmtId="0" fontId="41" fillId="27" borderId="0" xfId="0" applyFont="1" applyFill="1" applyAlignment="1">
      <alignment horizontal="right" textRotation="90" wrapText="1"/>
    </xf>
    <xf numFmtId="2" fontId="20" fillId="27" borderId="34" xfId="0" applyNumberFormat="1" applyFont="1" applyFill="1" applyBorder="1" applyAlignment="1">
      <alignment horizontal="right"/>
    </xf>
    <xf numFmtId="4" fontId="40" fillId="27" borderId="34" xfId="0" applyNumberFormat="1" applyFont="1" applyFill="1" applyBorder="1" applyAlignment="1">
      <alignment horizontal="right"/>
    </xf>
    <xf numFmtId="0" fontId="19" fillId="27" borderId="0" xfId="0" applyFont="1" applyFill="1" applyAlignment="1">
      <alignment horizontal="right" textRotation="90" wrapText="1"/>
    </xf>
    <xf numFmtId="0" fontId="20" fillId="27" borderId="0" xfId="0" applyFont="1" applyFill="1"/>
    <xf numFmtId="0" fontId="0" fillId="24" borderId="52" xfId="0" applyFill="1" applyBorder="1"/>
    <xf numFmtId="164" fontId="45" fillId="24" borderId="52" xfId="0" applyNumberFormat="1" applyFont="1" applyFill="1" applyBorder="1" applyAlignment="1">
      <alignment vertical="center"/>
    </xf>
    <xf numFmtId="0" fontId="19" fillId="25" borderId="0" xfId="98" applyFont="1" applyFill="1" applyAlignment="1">
      <alignment wrapText="1"/>
    </xf>
    <xf numFmtId="0" fontId="21" fillId="25" borderId="0" xfId="98" applyFill="1"/>
    <xf numFmtId="0" fontId="20" fillId="25" borderId="0" xfId="98" applyFont="1" applyFill="1"/>
    <xf numFmtId="0" fontId="44" fillId="25" borderId="0" xfId="126" applyFont="1" applyFill="1" applyAlignment="1">
      <alignment horizontal="left"/>
    </xf>
    <xf numFmtId="0" fontId="64" fillId="25" borderId="0" xfId="127" applyFont="1" applyFill="1" applyAlignment="1">
      <alignment wrapText="1"/>
    </xf>
    <xf numFmtId="0" fontId="21" fillId="24" borderId="52" xfId="98" applyFill="1" applyBorder="1" applyAlignment="1">
      <alignment horizontal="center" wrapText="1"/>
    </xf>
    <xf numFmtId="0" fontId="64" fillId="25" borderId="0" xfId="127" applyFont="1" applyFill="1" applyAlignment="1"/>
    <xf numFmtId="0" fontId="64" fillId="25" borderId="0" xfId="127" applyFont="1" applyFill="1" applyAlignment="1">
      <alignment horizontal="left"/>
    </xf>
    <xf numFmtId="0" fontId="21" fillId="25" borderId="0" xfId="98" applyFill="1" applyAlignment="1">
      <alignment horizontal="center"/>
    </xf>
    <xf numFmtId="0" fontId="66" fillId="25" borderId="0" xfId="98" applyFont="1" applyFill="1" applyAlignment="1">
      <alignment wrapText="1"/>
    </xf>
    <xf numFmtId="0" fontId="66" fillId="25" borderId="0" xfId="98" applyFont="1" applyFill="1" applyAlignment="1">
      <alignment horizontal="center" wrapText="1"/>
    </xf>
    <xf numFmtId="0" fontId="68" fillId="25" borderId="58" xfId="98" applyFont="1" applyFill="1" applyBorder="1" applyAlignment="1">
      <alignment wrapText="1"/>
    </xf>
    <xf numFmtId="0" fontId="21" fillId="32" borderId="0" xfId="98" applyFill="1"/>
    <xf numFmtId="0" fontId="21" fillId="32" borderId="64"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69" fillId="0" borderId="0" xfId="126" applyFont="1" applyAlignment="1">
      <alignment horizontal="left"/>
    </xf>
    <xf numFmtId="0" fontId="65" fillId="25" borderId="0" xfId="98" applyFont="1" applyFill="1"/>
    <xf numFmtId="0" fontId="63" fillId="25" borderId="0" xfId="127" applyFill="1"/>
    <xf numFmtId="0" fontId="70" fillId="25" borderId="0" xfId="98" applyFont="1" applyFill="1" applyAlignment="1">
      <alignment wrapText="1"/>
    </xf>
    <xf numFmtId="0" fontId="43" fillId="25" borderId="0" xfId="98" applyFont="1" applyFill="1"/>
    <xf numFmtId="0" fontId="45" fillId="0" borderId="0" xfId="98" applyFont="1" applyAlignment="1">
      <alignment horizontal="left"/>
    </xf>
    <xf numFmtId="0" fontId="44" fillId="0" borderId="10" xfId="100" applyFont="1" applyBorder="1" applyAlignment="1">
      <alignment horizontal="center"/>
    </xf>
    <xf numFmtId="0" fontId="0" fillId="0" borderId="14" xfId="0" applyBorder="1" applyAlignment="1">
      <alignment horizontal="center" vertical="center"/>
    </xf>
    <xf numFmtId="0" fontId="0" fillId="0" borderId="19" xfId="0" applyBorder="1" applyAlignment="1">
      <alignment horizontal="center" vertical="center"/>
    </xf>
    <xf numFmtId="0" fontId="51" fillId="27" borderId="16" xfId="0" applyFont="1" applyFill="1" applyBorder="1" applyAlignment="1">
      <alignment horizontal="center" vertical="center" wrapText="1"/>
    </xf>
    <xf numFmtId="0" fontId="51" fillId="27" borderId="17" xfId="0" applyFont="1" applyFill="1" applyBorder="1" applyAlignment="1">
      <alignment horizontal="center" vertical="center" wrapText="1"/>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41" fillId="25" borderId="0" xfId="0" applyFont="1" applyFill="1" applyAlignment="1">
      <alignment horizontal="left"/>
    </xf>
    <xf numFmtId="0" fontId="21" fillId="30" borderId="62" xfId="98" applyFill="1" applyBorder="1" applyAlignment="1">
      <alignment horizontal="center"/>
    </xf>
    <xf numFmtId="0" fontId="21" fillId="30" borderId="58" xfId="98" applyFill="1" applyBorder="1" applyAlignment="1">
      <alignment horizontal="center"/>
    </xf>
    <xf numFmtId="0" fontId="21" fillId="30" borderId="63" xfId="98" applyFill="1" applyBorder="1" applyAlignment="1">
      <alignment horizontal="center"/>
    </xf>
    <xf numFmtId="0" fontId="21" fillId="24" borderId="62" xfId="98" applyFill="1" applyBorder="1" applyAlignment="1">
      <alignment horizontal="center"/>
    </xf>
    <xf numFmtId="0" fontId="21" fillId="24" borderId="58" xfId="98" applyFill="1" applyBorder="1" applyAlignment="1">
      <alignment horizontal="center"/>
    </xf>
    <xf numFmtId="0" fontId="21" fillId="24" borderId="63" xfId="98" applyFill="1" applyBorder="1" applyAlignment="1">
      <alignment horizontal="center"/>
    </xf>
    <xf numFmtId="0" fontId="66" fillId="31" borderId="56" xfId="98" applyFont="1" applyFill="1" applyBorder="1" applyAlignment="1">
      <alignment horizontal="center" wrapText="1"/>
    </xf>
    <xf numFmtId="0" fontId="66" fillId="31" borderId="54" xfId="98" applyFont="1" applyFill="1" applyBorder="1" applyAlignment="1">
      <alignment horizontal="center" wrapText="1"/>
    </xf>
    <xf numFmtId="0" fontId="66" fillId="31" borderId="57" xfId="98" applyFont="1" applyFill="1" applyBorder="1" applyAlignment="1">
      <alignment horizontal="center" wrapText="1"/>
    </xf>
    <xf numFmtId="0" fontId="21" fillId="24" borderId="12" xfId="98" applyFill="1" applyBorder="1" applyAlignment="1">
      <alignment horizontal="center"/>
    </xf>
    <xf numFmtId="0" fontId="21" fillId="24" borderId="11" xfId="98" applyFill="1" applyBorder="1" applyAlignment="1">
      <alignment horizontal="center"/>
    </xf>
    <xf numFmtId="0" fontId="21" fillId="24" borderId="33" xfId="98" applyFill="1" applyBorder="1" applyAlignment="1">
      <alignment horizontal="center"/>
    </xf>
    <xf numFmtId="0" fontId="21" fillId="30" borderId="59" xfId="98" applyFill="1" applyBorder="1" applyAlignment="1">
      <alignment horizontal="center"/>
    </xf>
    <xf numFmtId="0" fontId="21" fillId="30" borderId="60" xfId="98" applyFill="1" applyBorder="1" applyAlignment="1">
      <alignment horizontal="center"/>
    </xf>
    <xf numFmtId="0" fontId="21" fillId="30" borderId="61" xfId="98" applyFill="1" applyBorder="1" applyAlignment="1">
      <alignment horizontal="center"/>
    </xf>
    <xf numFmtId="0" fontId="45" fillId="30" borderId="14" xfId="98" applyFont="1" applyFill="1" applyBorder="1" applyAlignment="1">
      <alignment horizontal="left"/>
    </xf>
    <xf numFmtId="0" fontId="45" fillId="30" borderId="13" xfId="98" applyFont="1" applyFill="1" applyBorder="1" applyAlignment="1">
      <alignment horizontal="left"/>
    </xf>
    <xf numFmtId="0" fontId="45" fillId="30" borderId="30" xfId="98" applyFont="1" applyFill="1" applyBorder="1" applyAlignment="1">
      <alignment horizontal="left"/>
    </xf>
    <xf numFmtId="0" fontId="66" fillId="25" borderId="14" xfId="98" applyFont="1" applyFill="1" applyBorder="1" applyAlignment="1">
      <alignment horizontal="left" vertical="center" wrapText="1"/>
    </xf>
    <xf numFmtId="0" fontId="66" fillId="25" borderId="13" xfId="98" applyFont="1" applyFill="1" applyBorder="1" applyAlignment="1">
      <alignment horizontal="left" vertical="center" wrapText="1"/>
    </xf>
    <xf numFmtId="0" fontId="66" fillId="25" borderId="30" xfId="98" applyFont="1" applyFill="1" applyBorder="1" applyAlignment="1">
      <alignment horizontal="left" vertical="center" wrapText="1"/>
    </xf>
    <xf numFmtId="0" fontId="67" fillId="25" borderId="14" xfId="98" applyFont="1" applyFill="1" applyBorder="1" applyAlignment="1">
      <alignment horizontal="left" vertical="center" wrapText="1"/>
    </xf>
    <xf numFmtId="0" fontId="67" fillId="25" borderId="13" xfId="98" applyFont="1" applyFill="1" applyBorder="1" applyAlignment="1">
      <alignment horizontal="left" vertical="center" wrapText="1"/>
    </xf>
    <xf numFmtId="0" fontId="67" fillId="25" borderId="30" xfId="98" applyFont="1" applyFill="1" applyBorder="1" applyAlignment="1">
      <alignment horizontal="left" vertical="center" wrapText="1"/>
    </xf>
    <xf numFmtId="0" fontId="64" fillId="25" borderId="0" xfId="127" applyFont="1" applyFill="1" applyAlignment="1">
      <alignment horizontal="left"/>
    </xf>
    <xf numFmtId="0" fontId="65" fillId="25" borderId="0" xfId="98" applyFont="1" applyFill="1" applyAlignment="1">
      <alignment horizontal="left" wrapText="1"/>
    </xf>
    <xf numFmtId="0" fontId="19" fillId="25" borderId="0" xfId="98" applyFont="1" applyFill="1" applyAlignment="1">
      <alignment horizontal="left" wrapText="1"/>
    </xf>
    <xf numFmtId="0" fontId="19" fillId="0" borderId="0" xfId="98" applyFont="1" applyAlignment="1">
      <alignment horizontal="left"/>
    </xf>
    <xf numFmtId="0" fontId="21" fillId="24" borderId="53" xfId="126" applyFont="1" applyFill="1" applyBorder="1" applyAlignment="1">
      <alignment horizontal="center"/>
    </xf>
    <xf numFmtId="0" fontId="21" fillId="24" borderId="54" xfId="126" applyFont="1" applyFill="1" applyBorder="1" applyAlignment="1">
      <alignment horizontal="center"/>
    </xf>
    <xf numFmtId="0" fontId="21" fillId="24" borderId="55" xfId="126" applyFont="1" applyFill="1" applyBorder="1" applyAlignment="1">
      <alignment horizontal="center"/>
    </xf>
    <xf numFmtId="167" fontId="44" fillId="0" borderId="0" xfId="126" applyNumberFormat="1" applyFont="1" applyAlignment="1">
      <alignment horizontal="left"/>
    </xf>
    <xf numFmtId="0" fontId="1" fillId="0" borderId="0" xfId="126" applyAlignment="1">
      <alignment horizontal="left"/>
    </xf>
    <xf numFmtId="0" fontId="64" fillId="25" borderId="0" xfId="127" applyFont="1" applyFill="1" applyAlignment="1">
      <alignment horizontal="left" wrapText="1"/>
    </xf>
  </cellXfs>
  <cellStyles count="128">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6" xr:uid="{00000000-0005-0000-0000-000032000000}"/>
    <cellStyle name="Calculation 3" xfId="31" xr:uid="{00000000-0005-0000-0000-000033000000}"/>
    <cellStyle name="Calculation 3 2" xfId="123"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1"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7" xr:uid="{DCA5E97F-40E5-4B06-B79B-1AC42AAEA5C1}"/>
    <cellStyle name="Input 2" xfId="81" xr:uid="{00000000-0005-0000-0000-000046000000}"/>
    <cellStyle name="Input 2 2" xfId="115" xr:uid="{00000000-0005-0000-0000-000043000000}"/>
    <cellStyle name="Input 3" xfId="39" xr:uid="{00000000-0005-0000-0000-000047000000}"/>
    <cellStyle name="Input 3 2" xfId="122"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0 2" xfId="110" xr:uid="{E6C82317-7D11-47AF-878A-12C916B120E3}"/>
    <cellStyle name="Normal 4 11" xfId="102" xr:uid="{00000000-0005-0000-0000-000056000000}"/>
    <cellStyle name="Normal 4 12" xfId="104" xr:uid="{00000000-0005-0000-0000-000057000000}"/>
    <cellStyle name="Normal 4 13" xfId="118"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2" xr:uid="{00000000-0005-0000-0000-00009E000000}"/>
    <cellStyle name="Normal 9" xfId="126" xr:uid="{A74BD021-573A-4D1D-88FF-4FFB891B758F}"/>
    <cellStyle name="Note 2" xfId="5" xr:uid="{00000000-0005-0000-0000-000063000000}"/>
    <cellStyle name="Note 2 2" xfId="119" xr:uid="{00000000-0005-0000-0000-00004E000000}"/>
    <cellStyle name="Note 3" xfId="89" xr:uid="{00000000-0005-0000-0000-000064000000}"/>
    <cellStyle name="Note 3 2" xfId="125" xr:uid="{00000000-0005-0000-0000-00004F000000}"/>
    <cellStyle name="Note 4" xfId="42" xr:uid="{00000000-0005-0000-0000-000065000000}"/>
    <cellStyle name="Note 4 2" xfId="99" xr:uid="{00000000-0005-0000-0000-000066000000}"/>
    <cellStyle name="Note 4 3" xfId="117" xr:uid="{00000000-0005-0000-0000-000050000000}"/>
    <cellStyle name="Output 2" xfId="84" xr:uid="{00000000-0005-0000-0000-000067000000}"/>
    <cellStyle name="Output 2 2" xfId="114" xr:uid="{00000000-0005-0000-0000-000051000000}"/>
    <cellStyle name="Output 3" xfId="43" xr:uid="{00000000-0005-0000-0000-000068000000}"/>
    <cellStyle name="Output 3 2" xfId="121" xr:uid="{00000000-0005-0000-0000-000052000000}"/>
    <cellStyle name="Percent 2" xfId="124" xr:uid="{00000000-0005-0000-0000-0000A0000000}"/>
    <cellStyle name="Title 2" xfId="85" xr:uid="{00000000-0005-0000-0000-000069000000}"/>
    <cellStyle name="Title 3" xfId="44" xr:uid="{00000000-0005-0000-0000-00006A000000}"/>
    <cellStyle name="Total 2" xfId="86" xr:uid="{00000000-0005-0000-0000-00006B000000}"/>
    <cellStyle name="Total 2 2" xfId="113" xr:uid="{00000000-0005-0000-0000-000056000000}"/>
    <cellStyle name="Total 3" xfId="45" xr:uid="{00000000-0005-0000-0000-00006C000000}"/>
    <cellStyle name="Total 3 2" xfId="120" xr:uid="{00000000-0005-0000-0000-000057000000}"/>
    <cellStyle name="Warning Text 2" xfId="87" xr:uid="{00000000-0005-0000-0000-00006D000000}"/>
    <cellStyle name="Warning Text 3" xfId="46" xr:uid="{00000000-0005-0000-0000-00006E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376662B-18DB-487D-A46A-239D856F867C}"/>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K6" sqref="K6"/>
    </sheetView>
  </sheetViews>
  <sheetFormatPr defaultRowHeight="12.75" x14ac:dyDescent="0.2"/>
  <cols>
    <col min="1" max="3" width="9.42578125" customWidth="1"/>
    <col min="4" max="9" width="11.28515625" customWidth="1"/>
    <col min="10" max="10" width="16" customWidth="1"/>
    <col min="11" max="11" width="17.4257812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167"/>
      <c r="B3" s="167"/>
      <c r="C3" s="167"/>
      <c r="D3" s="14" t="s">
        <v>1</v>
      </c>
      <c r="E3" s="14" t="s">
        <v>2</v>
      </c>
      <c r="F3" s="14" t="s">
        <v>3</v>
      </c>
      <c r="G3" s="14" t="s">
        <v>4</v>
      </c>
      <c r="H3" s="14" t="s">
        <v>5</v>
      </c>
      <c r="I3" s="14" t="s">
        <v>45</v>
      </c>
      <c r="J3" s="14" t="s">
        <v>46</v>
      </c>
      <c r="K3" s="15" t="s">
        <v>47</v>
      </c>
    </row>
    <row r="4" spans="1:11" x14ac:dyDescent="0.2">
      <c r="A4" s="166" t="s">
        <v>48</v>
      </c>
      <c r="B4" s="166"/>
      <c r="C4" s="166"/>
      <c r="D4" s="126">
        <v>12</v>
      </c>
      <c r="E4" s="126">
        <v>9</v>
      </c>
      <c r="F4" s="126">
        <v>6</v>
      </c>
      <c r="G4" s="126">
        <v>6</v>
      </c>
      <c r="H4" s="126">
        <v>3</v>
      </c>
      <c r="J4" s="16">
        <f>'Cost Summary'!B13</f>
        <v>25.577051564419111</v>
      </c>
      <c r="K4" s="69">
        <f>SUM(D4:H4,J4)</f>
        <v>61.577051564419108</v>
      </c>
    </row>
    <row r="5" spans="1:11" x14ac:dyDescent="0.2">
      <c r="A5" s="166" t="s">
        <v>49</v>
      </c>
      <c r="B5" s="166"/>
      <c r="C5" s="166"/>
      <c r="D5" s="126">
        <v>19.2</v>
      </c>
      <c r="E5" s="126">
        <v>14.399999999999999</v>
      </c>
      <c r="F5" s="126">
        <v>10</v>
      </c>
      <c r="G5" s="126">
        <v>9</v>
      </c>
      <c r="H5" s="126">
        <v>4.5</v>
      </c>
      <c r="J5" s="16">
        <f>'Cost Summary'!B14</f>
        <v>30</v>
      </c>
      <c r="K5" s="69">
        <f t="shared" ref="K5:K6" si="0">SUM(D5:H5,J5)</f>
        <v>87.1</v>
      </c>
    </row>
    <row r="6" spans="1:11" x14ac:dyDescent="0.2">
      <c r="A6" s="166" t="s">
        <v>50</v>
      </c>
      <c r="B6" s="166"/>
      <c r="C6" s="166"/>
      <c r="D6" s="126">
        <v>16.8</v>
      </c>
      <c r="E6" s="126">
        <v>12.600000000000001</v>
      </c>
      <c r="F6" s="126">
        <v>8</v>
      </c>
      <c r="G6" s="126">
        <v>9</v>
      </c>
      <c r="H6" s="126">
        <v>4.5</v>
      </c>
      <c r="J6" s="16">
        <f>'Cost Summary'!B15</f>
        <v>29.549712544197135</v>
      </c>
      <c r="K6" s="69">
        <f t="shared" si="0"/>
        <v>80.449712544197141</v>
      </c>
    </row>
  </sheetData>
  <mergeCells count="4">
    <mergeCell ref="A6:C6"/>
    <mergeCell ref="A3:C3"/>
    <mergeCell ref="A4:C4"/>
    <mergeCell ref="A5:C5"/>
  </mergeCells>
  <phoneticPr fontId="59"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workbookViewId="0">
      <selection activeCell="K11" sqref="K11"/>
    </sheetView>
  </sheetViews>
  <sheetFormatPr defaultRowHeight="12.75" x14ac:dyDescent="0.2"/>
  <cols>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67"/>
      <c r="B3" s="167"/>
      <c r="C3" s="167"/>
      <c r="D3" s="14" t="s">
        <v>1</v>
      </c>
      <c r="E3" s="14" t="s">
        <v>2</v>
      </c>
      <c r="F3" s="14" t="s">
        <v>3</v>
      </c>
      <c r="G3" s="14" t="s">
        <v>4</v>
      </c>
      <c r="H3" s="14" t="s">
        <v>5</v>
      </c>
      <c r="I3" s="14" t="s">
        <v>45</v>
      </c>
      <c r="J3" s="14" t="s">
        <v>46</v>
      </c>
      <c r="K3" s="15" t="s">
        <v>47</v>
      </c>
      <c r="L3" s="2"/>
      <c r="M3" s="2"/>
      <c r="N3" s="2"/>
      <c r="O3" s="2"/>
      <c r="P3" s="2"/>
    </row>
    <row r="4" spans="1:16" x14ac:dyDescent="0.2">
      <c r="A4" s="166" t="s">
        <v>48</v>
      </c>
      <c r="B4" s="166"/>
      <c r="C4" s="166"/>
      <c r="D4" s="127">
        <v>4</v>
      </c>
      <c r="E4" s="127">
        <v>3</v>
      </c>
      <c r="F4" s="127">
        <v>2</v>
      </c>
      <c r="G4" s="127">
        <v>2</v>
      </c>
      <c r="H4" s="127">
        <v>1</v>
      </c>
      <c r="J4" s="16">
        <f>'Cost Summary'!B13</f>
        <v>25.577051564419111</v>
      </c>
      <c r="K4" s="69">
        <f>SUM(D4:H4,J4)</f>
        <v>37.577051564419108</v>
      </c>
    </row>
    <row r="5" spans="1:16" x14ac:dyDescent="0.2">
      <c r="A5" s="166" t="s">
        <v>49</v>
      </c>
      <c r="B5" s="166"/>
      <c r="C5" s="166"/>
      <c r="D5" s="127">
        <v>20</v>
      </c>
      <c r="E5" s="127">
        <v>15</v>
      </c>
      <c r="F5" s="127">
        <v>10</v>
      </c>
      <c r="G5" s="127">
        <v>10</v>
      </c>
      <c r="H5" s="127">
        <v>5</v>
      </c>
      <c r="J5" s="16">
        <f>'Cost Summary'!B14</f>
        <v>30</v>
      </c>
      <c r="K5" s="69">
        <f t="shared" ref="K5:K6" si="0">SUM(D5:H5,J5)</f>
        <v>90</v>
      </c>
    </row>
    <row r="6" spans="1:16" x14ac:dyDescent="0.2">
      <c r="A6" s="166" t="s">
        <v>50</v>
      </c>
      <c r="B6" s="166"/>
      <c r="C6" s="166"/>
      <c r="D6" s="127">
        <v>4</v>
      </c>
      <c r="E6" s="127">
        <v>9</v>
      </c>
      <c r="F6" s="127">
        <v>6</v>
      </c>
      <c r="G6" s="127">
        <v>6</v>
      </c>
      <c r="H6" s="127">
        <v>2</v>
      </c>
      <c r="J6" s="16">
        <f>'Cost Summary'!B15</f>
        <v>29.549712544197135</v>
      </c>
      <c r="K6" s="69">
        <f t="shared" si="0"/>
        <v>56.549712544197135</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D4" sqref="D4:H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67"/>
      <c r="B3" s="167"/>
      <c r="C3" s="167"/>
      <c r="D3" s="14" t="s">
        <v>1</v>
      </c>
      <c r="E3" s="14" t="s">
        <v>2</v>
      </c>
      <c r="F3" s="14" t="s">
        <v>3</v>
      </c>
      <c r="G3" s="14" t="s">
        <v>4</v>
      </c>
      <c r="H3" s="14" t="s">
        <v>5</v>
      </c>
      <c r="I3" s="14" t="s">
        <v>45</v>
      </c>
      <c r="J3" s="14" t="s">
        <v>46</v>
      </c>
      <c r="K3" s="15" t="s">
        <v>47</v>
      </c>
      <c r="L3" s="2"/>
      <c r="M3" s="2"/>
      <c r="N3" s="2"/>
      <c r="O3" s="2"/>
      <c r="P3" s="2"/>
    </row>
    <row r="4" spans="1:16" x14ac:dyDescent="0.2">
      <c r="A4" s="166" t="s">
        <v>48</v>
      </c>
      <c r="B4" s="166"/>
      <c r="C4" s="166"/>
      <c r="D4" s="128">
        <v>14</v>
      </c>
      <c r="E4" s="128">
        <v>12</v>
      </c>
      <c r="F4" s="128">
        <v>7</v>
      </c>
      <c r="G4" s="128">
        <v>6</v>
      </c>
      <c r="H4" s="128">
        <v>3</v>
      </c>
      <c r="J4" s="16">
        <f>'Cost Summary'!B13</f>
        <v>25.577051564419111</v>
      </c>
      <c r="K4" s="69">
        <f>SUM(D4:H4,J4)</f>
        <v>67.577051564419108</v>
      </c>
    </row>
    <row r="5" spans="1:16" x14ac:dyDescent="0.2">
      <c r="A5" s="166" t="s">
        <v>49</v>
      </c>
      <c r="B5" s="166"/>
      <c r="C5" s="166"/>
      <c r="D5" s="128">
        <v>18</v>
      </c>
      <c r="E5" s="128">
        <v>15</v>
      </c>
      <c r="F5" s="128">
        <v>10</v>
      </c>
      <c r="G5" s="128">
        <v>9</v>
      </c>
      <c r="H5" s="128">
        <v>5</v>
      </c>
      <c r="J5" s="16">
        <f>'Cost Summary'!B14</f>
        <v>30</v>
      </c>
      <c r="K5" s="69">
        <f t="shared" ref="K5:K6" si="0">SUM(D5:H5,J5)</f>
        <v>87</v>
      </c>
    </row>
    <row r="6" spans="1:16" x14ac:dyDescent="0.2">
      <c r="A6" s="166" t="s">
        <v>50</v>
      </c>
      <c r="B6" s="166"/>
      <c r="C6" s="166"/>
      <c r="D6" s="128">
        <v>20</v>
      </c>
      <c r="E6" s="128">
        <v>12</v>
      </c>
      <c r="F6" s="128">
        <v>8</v>
      </c>
      <c r="G6" s="128">
        <v>8</v>
      </c>
      <c r="H6" s="128">
        <v>4</v>
      </c>
      <c r="J6" s="16">
        <f>'Cost Summary'!B15</f>
        <v>29.549712544197135</v>
      </c>
      <c r="K6" s="69">
        <f t="shared" si="0"/>
        <v>81.549712544197135</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
  <sheetViews>
    <sheetView workbookViewId="0">
      <selection activeCell="D4" sqref="D4:H6"/>
    </sheetView>
  </sheetViews>
  <sheetFormatPr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67"/>
      <c r="B3" s="167"/>
      <c r="C3" s="167"/>
      <c r="D3" s="14" t="s">
        <v>1</v>
      </c>
      <c r="E3" s="14" t="s">
        <v>2</v>
      </c>
      <c r="F3" s="14" t="s">
        <v>3</v>
      </c>
      <c r="G3" s="14" t="s">
        <v>4</v>
      </c>
      <c r="H3" s="14" t="s">
        <v>5</v>
      </c>
      <c r="I3" s="14" t="s">
        <v>45</v>
      </c>
      <c r="J3" s="14" t="s">
        <v>46</v>
      </c>
      <c r="K3" s="15" t="s">
        <v>47</v>
      </c>
      <c r="L3" s="2"/>
      <c r="M3" s="2"/>
      <c r="N3" s="2"/>
      <c r="O3" s="2"/>
      <c r="P3" s="2"/>
    </row>
    <row r="4" spans="1:16" x14ac:dyDescent="0.2">
      <c r="A4" s="166" t="s">
        <v>48</v>
      </c>
      <c r="B4" s="166"/>
      <c r="C4" s="166"/>
      <c r="D4" s="129">
        <v>4</v>
      </c>
      <c r="E4" s="129">
        <v>10.5</v>
      </c>
      <c r="F4" s="129">
        <v>7.2</v>
      </c>
      <c r="G4" s="129">
        <v>7.6</v>
      </c>
      <c r="H4" s="129">
        <v>3.9</v>
      </c>
      <c r="J4" s="16">
        <f>'Cost Summary'!B13</f>
        <v>25.577051564419111</v>
      </c>
      <c r="K4" s="69">
        <f>SUM(D4:H4,J4)</f>
        <v>58.777051564419111</v>
      </c>
    </row>
    <row r="5" spans="1:16" x14ac:dyDescent="0.2">
      <c r="A5" s="166" t="s">
        <v>49</v>
      </c>
      <c r="B5" s="166"/>
      <c r="C5" s="166"/>
      <c r="D5" s="129">
        <v>19.2</v>
      </c>
      <c r="E5" s="129">
        <v>14.700000000000001</v>
      </c>
      <c r="F5" s="129">
        <v>9.6</v>
      </c>
      <c r="G5" s="129">
        <v>9</v>
      </c>
      <c r="H5" s="129">
        <v>4.8</v>
      </c>
      <c r="J5" s="16">
        <f>'Cost Summary'!B14</f>
        <v>30</v>
      </c>
      <c r="K5" s="69">
        <f t="shared" ref="K5:K6" si="0">SUM(D5:H5,J5)</f>
        <v>87.3</v>
      </c>
    </row>
    <row r="6" spans="1:16" x14ac:dyDescent="0.2">
      <c r="A6" s="166" t="s">
        <v>50</v>
      </c>
      <c r="B6" s="166"/>
      <c r="C6" s="166"/>
      <c r="D6" s="129">
        <v>18</v>
      </c>
      <c r="E6" s="129">
        <v>12.299999999999999</v>
      </c>
      <c r="F6" s="129">
        <v>8.4</v>
      </c>
      <c r="G6" s="129">
        <v>9.1999999999999993</v>
      </c>
      <c r="H6" s="129">
        <v>4.4000000000000004</v>
      </c>
      <c r="J6" s="16">
        <f>'Cost Summary'!B15</f>
        <v>29.549712544197135</v>
      </c>
      <c r="K6" s="69">
        <f t="shared" si="0"/>
        <v>81.849712544197132</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
  <sheetViews>
    <sheetView workbookViewId="0">
      <selection activeCell="K6" sqref="K6"/>
    </sheetView>
  </sheetViews>
  <sheetFormatPr defaultColWidth="9.140625" defaultRowHeight="12.75" x14ac:dyDescent="0.2"/>
  <cols>
    <col min="10" max="10" width="9.85546875" bestFit="1" customWidth="1"/>
    <col min="11" max="11" width="14.42578125" bestFit="1" customWidth="1"/>
  </cols>
  <sheetData>
    <row r="1" spans="1:16" ht="15.75" x14ac:dyDescent="0.25">
      <c r="A1" s="4" t="s">
        <v>0</v>
      </c>
      <c r="B1" s="3"/>
      <c r="C1" s="3"/>
      <c r="D1" s="3"/>
      <c r="E1" s="1"/>
      <c r="F1" s="1"/>
      <c r="G1" s="1"/>
      <c r="H1" s="1"/>
      <c r="I1" s="1"/>
    </row>
    <row r="2" spans="1:16" ht="15.75" x14ac:dyDescent="0.25">
      <c r="A2" s="1"/>
    </row>
    <row r="3" spans="1:16" x14ac:dyDescent="0.2">
      <c r="A3" s="167"/>
      <c r="B3" s="167"/>
      <c r="C3" s="167"/>
      <c r="D3" s="14" t="s">
        <v>1</v>
      </c>
      <c r="E3" s="14" t="s">
        <v>2</v>
      </c>
      <c r="F3" s="14" t="s">
        <v>3</v>
      </c>
      <c r="G3" s="14" t="s">
        <v>4</v>
      </c>
      <c r="H3" s="14" t="s">
        <v>5</v>
      </c>
      <c r="I3" s="14" t="s">
        <v>45</v>
      </c>
      <c r="J3" s="14" t="s">
        <v>46</v>
      </c>
      <c r="K3" s="15" t="s">
        <v>47</v>
      </c>
      <c r="L3" s="2"/>
      <c r="M3" s="2"/>
      <c r="N3" s="2"/>
      <c r="O3" s="2"/>
      <c r="P3" s="2"/>
    </row>
    <row r="4" spans="1:16" x14ac:dyDescent="0.2">
      <c r="A4" s="166" t="s">
        <v>48</v>
      </c>
      <c r="B4" s="166"/>
      <c r="C4" s="166"/>
      <c r="D4" s="130">
        <v>14</v>
      </c>
      <c r="E4" s="130">
        <v>10.5</v>
      </c>
      <c r="F4" s="130">
        <v>7</v>
      </c>
      <c r="G4" s="130">
        <v>7</v>
      </c>
      <c r="H4" s="130">
        <v>3.5</v>
      </c>
      <c r="J4" s="16">
        <f>'Cost Summary'!B13</f>
        <v>25.577051564419111</v>
      </c>
      <c r="K4" s="69">
        <f>SUM(D4:H4,J4)</f>
        <v>67.577051564419108</v>
      </c>
    </row>
    <row r="5" spans="1:16" x14ac:dyDescent="0.2">
      <c r="A5" s="166" t="s">
        <v>49</v>
      </c>
      <c r="B5" s="166"/>
      <c r="C5" s="166"/>
      <c r="D5" s="130">
        <v>18</v>
      </c>
      <c r="E5" s="130">
        <v>13.5</v>
      </c>
      <c r="F5" s="130">
        <v>9</v>
      </c>
      <c r="G5" s="130">
        <v>8</v>
      </c>
      <c r="H5" s="130">
        <v>4</v>
      </c>
      <c r="J5" s="16">
        <f>'Cost Summary'!B14</f>
        <v>30</v>
      </c>
      <c r="K5" s="69">
        <f t="shared" ref="K5:K6" si="0">SUM(D5:H5,J5)</f>
        <v>82.5</v>
      </c>
    </row>
    <row r="6" spans="1:16" x14ac:dyDescent="0.2">
      <c r="A6" s="166" t="s">
        <v>50</v>
      </c>
      <c r="B6" s="166"/>
      <c r="C6" s="166"/>
      <c r="D6" s="130">
        <v>16</v>
      </c>
      <c r="E6" s="130">
        <v>13.5</v>
      </c>
      <c r="F6" s="130">
        <v>8</v>
      </c>
      <c r="G6" s="130">
        <v>8</v>
      </c>
      <c r="H6" s="130">
        <v>4</v>
      </c>
      <c r="J6" s="16">
        <f>'Cost Summary'!B15</f>
        <v>29.549712544197135</v>
      </c>
      <c r="K6" s="69">
        <f t="shared" si="0"/>
        <v>79.049712544197135</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4290-D1FA-41C9-A9A7-3B69491DDAB6}">
  <sheetPr>
    <tabColor rgb="FF00B0F0"/>
  </sheetPr>
  <dimension ref="A1:O24"/>
  <sheetViews>
    <sheetView zoomScaleNormal="100" workbookViewId="0">
      <selection activeCell="G30" sqref="G30"/>
    </sheetView>
  </sheetViews>
  <sheetFormatPr defaultColWidth="9.140625" defaultRowHeight="12.75" x14ac:dyDescent="0.2"/>
  <cols>
    <col min="1" max="1" width="28.85546875" style="91" bestFit="1" customWidth="1"/>
    <col min="2" max="9" width="9.140625" style="91"/>
    <col min="10" max="10" width="9.85546875" style="91" bestFit="1" customWidth="1"/>
    <col min="11" max="16384" width="9.140625" style="91"/>
  </cols>
  <sheetData>
    <row r="1" spans="1:15" ht="15.75" x14ac:dyDescent="0.25">
      <c r="A1" s="88" t="s">
        <v>0</v>
      </c>
      <c r="B1" s="89"/>
      <c r="C1" s="89"/>
      <c r="D1" s="89"/>
      <c r="E1" s="90"/>
      <c r="F1" s="90"/>
      <c r="G1" s="90"/>
      <c r="H1" s="90"/>
      <c r="I1" s="90"/>
    </row>
    <row r="2" spans="1:15" ht="15.75" x14ac:dyDescent="0.25">
      <c r="A2" s="90"/>
    </row>
    <row r="3" spans="1:15" x14ac:dyDescent="0.2">
      <c r="A3" s="167"/>
      <c r="B3" s="167"/>
      <c r="C3" s="167"/>
      <c r="D3" s="14" t="s">
        <v>1</v>
      </c>
      <c r="E3" s="14" t="s">
        <v>2</v>
      </c>
      <c r="F3" s="14" t="s">
        <v>3</v>
      </c>
      <c r="G3" s="14" t="s">
        <v>4</v>
      </c>
      <c r="H3" s="14" t="s">
        <v>5</v>
      </c>
      <c r="I3" s="14" t="s">
        <v>45</v>
      </c>
      <c r="J3" s="14" t="s">
        <v>46</v>
      </c>
      <c r="K3" s="15" t="s">
        <v>47</v>
      </c>
      <c r="L3" s="2"/>
      <c r="M3" s="2"/>
      <c r="N3" s="2"/>
      <c r="O3" s="2"/>
    </row>
    <row r="4" spans="1:15" x14ac:dyDescent="0.2">
      <c r="A4" s="166" t="s">
        <v>48</v>
      </c>
      <c r="B4" s="166"/>
      <c r="C4" s="166"/>
      <c r="D4"/>
      <c r="E4" s="13"/>
      <c r="F4" s="13"/>
      <c r="G4" s="13"/>
      <c r="H4" s="13"/>
      <c r="I4">
        <v>10</v>
      </c>
      <c r="J4" s="16">
        <f>'Cost Summary'!B13</f>
        <v>25.577051564419111</v>
      </c>
      <c r="K4" s="69">
        <f>SUM(D4:H4,J4)</f>
        <v>25.577051564419111</v>
      </c>
      <c r="L4"/>
      <c r="M4"/>
      <c r="N4"/>
      <c r="O4"/>
    </row>
    <row r="5" spans="1:15" x14ac:dyDescent="0.2">
      <c r="A5" s="166" t="s">
        <v>49</v>
      </c>
      <c r="B5" s="166"/>
      <c r="C5" s="166"/>
      <c r="D5"/>
      <c r="E5" s="13"/>
      <c r="F5" s="13"/>
      <c r="G5" s="13"/>
      <c r="H5" s="13"/>
      <c r="I5">
        <v>10</v>
      </c>
      <c r="J5" s="16">
        <f>'Cost Summary'!B14</f>
        <v>30</v>
      </c>
      <c r="K5" s="69">
        <f t="shared" ref="K5:K6" si="0">SUM(D5:H5,J5)</f>
        <v>30</v>
      </c>
      <c r="L5"/>
      <c r="M5"/>
      <c r="N5"/>
      <c r="O5"/>
    </row>
    <row r="6" spans="1:15" x14ac:dyDescent="0.2">
      <c r="A6" s="166" t="s">
        <v>50</v>
      </c>
      <c r="B6" s="166"/>
      <c r="C6" s="166"/>
      <c r="D6"/>
      <c r="E6" s="13"/>
      <c r="F6" s="13"/>
      <c r="G6" s="13"/>
      <c r="H6" s="13"/>
      <c r="I6">
        <v>10</v>
      </c>
      <c r="J6" s="16">
        <f>'Cost Summary'!B15</f>
        <v>29.549712544197135</v>
      </c>
      <c r="K6" s="69">
        <f t="shared" si="0"/>
        <v>29.549712544197135</v>
      </c>
      <c r="L6"/>
      <c r="M6"/>
      <c r="N6"/>
      <c r="O6"/>
    </row>
    <row r="7" spans="1:15" x14ac:dyDescent="0.2">
      <c r="A7"/>
      <c r="B7"/>
      <c r="C7"/>
      <c r="D7"/>
      <c r="E7"/>
      <c r="F7"/>
      <c r="G7"/>
      <c r="H7"/>
      <c r="I7"/>
      <c r="J7"/>
      <c r="K7"/>
      <c r="L7"/>
      <c r="M7"/>
      <c r="N7"/>
      <c r="O7"/>
    </row>
    <row r="8" spans="1:15" x14ac:dyDescent="0.2">
      <c r="A8"/>
      <c r="B8"/>
      <c r="C8"/>
      <c r="D8"/>
      <c r="E8"/>
      <c r="F8"/>
      <c r="G8"/>
      <c r="H8"/>
      <c r="I8"/>
      <c r="J8"/>
      <c r="K8"/>
      <c r="L8"/>
      <c r="M8"/>
      <c r="N8"/>
      <c r="O8"/>
    </row>
    <row r="9" spans="1:15" x14ac:dyDescent="0.2">
      <c r="A9"/>
      <c r="B9"/>
      <c r="C9"/>
      <c r="D9"/>
      <c r="E9"/>
      <c r="F9"/>
      <c r="G9"/>
      <c r="H9"/>
      <c r="I9"/>
      <c r="J9"/>
      <c r="K9"/>
      <c r="L9"/>
      <c r="M9"/>
      <c r="N9"/>
      <c r="O9"/>
    </row>
    <row r="10" spans="1:15" x14ac:dyDescent="0.2">
      <c r="A10"/>
      <c r="B10"/>
      <c r="C10"/>
      <c r="D10"/>
      <c r="E10"/>
      <c r="F10"/>
      <c r="G10"/>
      <c r="H10"/>
      <c r="I10"/>
      <c r="J10"/>
      <c r="K10"/>
      <c r="L10"/>
      <c r="M10"/>
      <c r="N10"/>
      <c r="O10"/>
    </row>
    <row r="11" spans="1:15" x14ac:dyDescent="0.2">
      <c r="A11"/>
      <c r="B11"/>
      <c r="C11"/>
      <c r="D11"/>
      <c r="E11"/>
      <c r="F11"/>
      <c r="G11"/>
      <c r="H11"/>
      <c r="I11"/>
      <c r="J11"/>
      <c r="K11"/>
      <c r="L11"/>
      <c r="M11"/>
      <c r="N11"/>
      <c r="O11"/>
    </row>
    <row r="12" spans="1:15" x14ac:dyDescent="0.2">
      <c r="A12"/>
      <c r="B12"/>
      <c r="C12"/>
      <c r="D12"/>
      <c r="E12"/>
      <c r="F12"/>
      <c r="G12"/>
      <c r="H12"/>
      <c r="I12"/>
      <c r="J12"/>
      <c r="K12"/>
      <c r="L12"/>
      <c r="M12"/>
      <c r="N12"/>
      <c r="O12"/>
    </row>
    <row r="13" spans="1:15" x14ac:dyDescent="0.2">
      <c r="A13"/>
      <c r="B13"/>
      <c r="C13"/>
      <c r="D13"/>
      <c r="E13"/>
      <c r="F13"/>
      <c r="G13"/>
      <c r="H13"/>
      <c r="I13"/>
      <c r="J13"/>
      <c r="K13"/>
      <c r="L13"/>
      <c r="M13"/>
      <c r="N13"/>
      <c r="O13"/>
    </row>
    <row r="14" spans="1:15" x14ac:dyDescent="0.2">
      <c r="A14"/>
      <c r="B14"/>
      <c r="C14"/>
      <c r="D14"/>
      <c r="E14"/>
      <c r="F14"/>
      <c r="G14"/>
      <c r="H14"/>
      <c r="I14"/>
      <c r="J14"/>
      <c r="K14"/>
      <c r="L14"/>
      <c r="M14"/>
      <c r="N14"/>
      <c r="O14"/>
    </row>
    <row r="15" spans="1:15" x14ac:dyDescent="0.2">
      <c r="A15"/>
      <c r="B15"/>
      <c r="C15"/>
      <c r="D15"/>
      <c r="E15"/>
      <c r="F15"/>
      <c r="G15"/>
      <c r="H15"/>
      <c r="I15"/>
      <c r="J15"/>
      <c r="K15"/>
      <c r="L15"/>
      <c r="M15"/>
      <c r="N15"/>
      <c r="O15"/>
    </row>
    <row r="16" spans="1:15" x14ac:dyDescent="0.2">
      <c r="A16"/>
      <c r="B16"/>
      <c r="C16"/>
      <c r="D16"/>
      <c r="E16"/>
      <c r="F16"/>
      <c r="G16"/>
      <c r="H16"/>
      <c r="I16"/>
      <c r="J16"/>
      <c r="K16"/>
      <c r="L16"/>
      <c r="M16"/>
      <c r="N16"/>
      <c r="O16"/>
    </row>
    <row r="17" spans="1:15" x14ac:dyDescent="0.2">
      <c r="A17"/>
      <c r="B17"/>
      <c r="C17"/>
      <c r="D17"/>
      <c r="E17"/>
      <c r="F17"/>
      <c r="G17"/>
      <c r="H17"/>
      <c r="I17"/>
      <c r="J17"/>
      <c r="K17"/>
      <c r="L17"/>
      <c r="M17"/>
      <c r="N17"/>
      <c r="O17"/>
    </row>
    <row r="18" spans="1:15" x14ac:dyDescent="0.2">
      <c r="A18"/>
      <c r="B18"/>
      <c r="C18"/>
      <c r="D18"/>
      <c r="E18"/>
      <c r="F18"/>
      <c r="G18"/>
      <c r="H18"/>
      <c r="I18"/>
      <c r="J18"/>
      <c r="K18"/>
      <c r="L18"/>
      <c r="M18"/>
      <c r="N18"/>
      <c r="O18"/>
    </row>
    <row r="19" spans="1:15" x14ac:dyDescent="0.2">
      <c r="A19"/>
      <c r="B19"/>
      <c r="C19"/>
      <c r="D19"/>
      <c r="E19"/>
      <c r="F19"/>
      <c r="G19"/>
      <c r="H19"/>
      <c r="I19"/>
      <c r="J19"/>
      <c r="K19"/>
      <c r="L19"/>
      <c r="M19"/>
      <c r="N19"/>
      <c r="O19"/>
    </row>
    <row r="20" spans="1:15" x14ac:dyDescent="0.2">
      <c r="A20"/>
      <c r="B20"/>
      <c r="C20"/>
      <c r="D20"/>
      <c r="E20"/>
      <c r="F20"/>
      <c r="G20"/>
      <c r="H20"/>
      <c r="I20"/>
      <c r="J20"/>
      <c r="K20"/>
      <c r="L20"/>
      <c r="M20"/>
      <c r="N20"/>
      <c r="O20"/>
    </row>
    <row r="21" spans="1:15" x14ac:dyDescent="0.2">
      <c r="A21"/>
      <c r="B21"/>
      <c r="C21"/>
      <c r="D21"/>
      <c r="E21"/>
      <c r="F21"/>
      <c r="G21"/>
      <c r="H21"/>
      <c r="I21"/>
      <c r="J21"/>
      <c r="K21"/>
      <c r="L21"/>
      <c r="M21"/>
      <c r="N21"/>
      <c r="O21"/>
    </row>
    <row r="22" spans="1:15" x14ac:dyDescent="0.2">
      <c r="A22"/>
      <c r="B22"/>
      <c r="C22"/>
      <c r="D22"/>
      <c r="E22"/>
      <c r="F22"/>
      <c r="G22"/>
      <c r="H22"/>
      <c r="I22"/>
      <c r="J22"/>
      <c r="K22"/>
      <c r="L22"/>
      <c r="M22"/>
      <c r="N22"/>
      <c r="O22"/>
    </row>
    <row r="23" spans="1:15" x14ac:dyDescent="0.2">
      <c r="A23"/>
      <c r="B23"/>
      <c r="C23"/>
      <c r="D23"/>
      <c r="E23"/>
      <c r="F23"/>
      <c r="G23"/>
      <c r="H23"/>
      <c r="I23"/>
      <c r="J23"/>
      <c r="K23"/>
      <c r="L23"/>
      <c r="M23"/>
      <c r="N23"/>
      <c r="O23"/>
    </row>
    <row r="24" spans="1:15" x14ac:dyDescent="0.2">
      <c r="A24"/>
      <c r="B24"/>
      <c r="C24"/>
      <c r="D24"/>
      <c r="E24"/>
      <c r="F24"/>
      <c r="G24"/>
      <c r="H24"/>
      <c r="I24"/>
      <c r="J24"/>
      <c r="K24"/>
      <c r="L24"/>
      <c r="M24"/>
      <c r="N24"/>
      <c r="O24"/>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0"/>
  <sheetViews>
    <sheetView workbookViewId="0">
      <selection activeCell="D27" sqref="D27"/>
    </sheetView>
  </sheetViews>
  <sheetFormatPr defaultColWidth="9.140625" defaultRowHeight="12.75" x14ac:dyDescent="0.2"/>
  <cols>
    <col min="1" max="1" width="33.5703125" customWidth="1"/>
    <col min="2" max="8" width="20.42578125" customWidth="1"/>
    <col min="10" max="10" width="27.85546875" customWidth="1"/>
    <col min="11" max="11" width="14" bestFit="1" customWidth="1"/>
    <col min="12" max="12" width="15" bestFit="1" customWidth="1"/>
    <col min="13" max="13" width="18.42578125" bestFit="1" customWidth="1"/>
    <col min="14" max="14" width="24.5703125" customWidth="1"/>
    <col min="15" max="15" width="19.28515625" customWidth="1"/>
  </cols>
  <sheetData>
    <row r="1" spans="1:13" ht="34.5" customHeight="1" thickBot="1" x14ac:dyDescent="0.25">
      <c r="A1" s="168"/>
      <c r="B1" s="17"/>
      <c r="C1" s="18" t="s">
        <v>8</v>
      </c>
      <c r="D1" s="170" t="s">
        <v>9</v>
      </c>
      <c r="E1" s="171"/>
      <c r="F1" s="19"/>
      <c r="G1" s="20"/>
      <c r="H1" s="21" t="s">
        <v>10</v>
      </c>
    </row>
    <row r="2" spans="1:13" ht="39" customHeight="1" thickBot="1" x14ac:dyDescent="0.25">
      <c r="A2" s="169"/>
      <c r="B2" s="22" t="s">
        <v>11</v>
      </c>
      <c r="C2" s="23" t="s">
        <v>12</v>
      </c>
      <c r="D2" s="24" t="s">
        <v>13</v>
      </c>
      <c r="E2" s="25" t="s">
        <v>14</v>
      </c>
      <c r="F2" s="26" t="s">
        <v>32</v>
      </c>
      <c r="G2" s="27" t="s">
        <v>15</v>
      </c>
      <c r="H2" s="28" t="s">
        <v>16</v>
      </c>
      <c r="J2" s="29" t="s">
        <v>17</v>
      </c>
    </row>
    <row r="3" spans="1:13" ht="15" x14ac:dyDescent="0.2">
      <c r="A3" s="30" t="str">
        <f>'1'!A4:C4</f>
        <v>Kitchell</v>
      </c>
      <c r="B3" s="31">
        <f>J3*D3</f>
        <v>1882143.052123552</v>
      </c>
      <c r="C3" s="32">
        <v>75000</v>
      </c>
      <c r="D3" s="33">
        <v>3.5999999999999997E-2</v>
      </c>
      <c r="E3" s="87">
        <f>F30</f>
        <v>122893.5</v>
      </c>
      <c r="F3" s="87">
        <f>E3*F7</f>
        <v>2580763.5</v>
      </c>
      <c r="G3" s="34">
        <f>428400+725000+26942</f>
        <v>1180342</v>
      </c>
      <c r="H3" s="35">
        <f>B3+C3+F3+G3</f>
        <v>5718248.5521235522</v>
      </c>
      <c r="J3" s="36">
        <f>(C7-(F3+G3)-C3)/(D3+1)</f>
        <v>52281751.447876446</v>
      </c>
      <c r="K3" s="37"/>
      <c r="L3" s="37"/>
      <c r="M3" s="37"/>
    </row>
    <row r="4" spans="1:13" ht="15" x14ac:dyDescent="0.2">
      <c r="A4" s="30" t="str">
        <f>'1'!A5:C5</f>
        <v>Harvey Cleary</v>
      </c>
      <c r="B4" s="31">
        <f>J4*D4</f>
        <v>2019927.8829351701</v>
      </c>
      <c r="C4" s="38">
        <v>40000</v>
      </c>
      <c r="D4" s="39">
        <v>3.8100000000000002E-2</v>
      </c>
      <c r="E4" s="112">
        <f>G30</f>
        <v>102647.25</v>
      </c>
      <c r="F4" s="87">
        <f>E4*F7</f>
        <v>2155592.25</v>
      </c>
      <c r="G4" s="40">
        <f>393000+375000</f>
        <v>768000</v>
      </c>
      <c r="H4" s="35">
        <f t="shared" ref="H4:H5" si="0">B4+C4+F4+G4</f>
        <v>4983520.1329351701</v>
      </c>
      <c r="J4" s="41">
        <f>(C7-(F4+G4)-C4)/(D4+1)</f>
        <v>53016479.867064826</v>
      </c>
      <c r="K4" s="37"/>
      <c r="L4" s="37"/>
      <c r="M4" s="37"/>
    </row>
    <row r="5" spans="1:13" ht="15" x14ac:dyDescent="0.2">
      <c r="A5" s="30" t="str">
        <f>'1'!A6:C6</f>
        <v>Vaughn Construction</v>
      </c>
      <c r="B5" s="31">
        <f>J5*D5</f>
        <v>1826487.9363218949</v>
      </c>
      <c r="C5" s="38">
        <v>145000</v>
      </c>
      <c r="D5" s="39">
        <v>3.4500000000000003E-2</v>
      </c>
      <c r="E5" s="112">
        <f>H30</f>
        <v>110098.75</v>
      </c>
      <c r="F5" s="87">
        <f>E5*F7</f>
        <v>2312073.75</v>
      </c>
      <c r="G5" s="40">
        <f>339759+435000</f>
        <v>774759</v>
      </c>
      <c r="H5" s="35">
        <f t="shared" si="0"/>
        <v>5058320.6863218946</v>
      </c>
      <c r="J5" s="41">
        <f>(C7-(F5+G5)-C5)/(D5+1)</f>
        <v>52941679.313678108</v>
      </c>
      <c r="K5" s="37"/>
      <c r="L5" s="37"/>
      <c r="M5" s="37"/>
    </row>
    <row r="6" spans="1:13" ht="13.5" thickBot="1" x14ac:dyDescent="0.25">
      <c r="A6" s="42"/>
      <c r="B6" s="42"/>
      <c r="C6" s="43"/>
      <c r="D6" s="43"/>
      <c r="E6" s="43"/>
      <c r="F6" s="43"/>
      <c r="G6" s="43"/>
      <c r="H6" s="43"/>
    </row>
    <row r="7" spans="1:13" ht="15.75" thickBot="1" x14ac:dyDescent="0.25">
      <c r="A7" s="42"/>
      <c r="B7" s="44" t="s">
        <v>18</v>
      </c>
      <c r="C7" s="143">
        <v>58000000</v>
      </c>
      <c r="E7" s="45" t="s">
        <v>19</v>
      </c>
      <c r="F7" s="142">
        <v>21</v>
      </c>
      <c r="G7" s="45" t="s">
        <v>20</v>
      </c>
      <c r="H7" s="46">
        <f>MIN(H3:H5)</f>
        <v>4983520.1329351701</v>
      </c>
    </row>
    <row r="8" spans="1:13" x14ac:dyDescent="0.2">
      <c r="B8" s="47"/>
    </row>
    <row r="9" spans="1:13" x14ac:dyDescent="0.2">
      <c r="A9" s="42"/>
      <c r="B9" s="48"/>
      <c r="C9" s="48"/>
      <c r="D9" s="42"/>
      <c r="E9" s="42"/>
      <c r="F9" s="42"/>
      <c r="G9" s="42"/>
    </row>
    <row r="10" spans="1:13" ht="15.75" thickBot="1" x14ac:dyDescent="0.3">
      <c r="A10" s="49" t="s">
        <v>21</v>
      </c>
      <c r="B10" s="49" t="s">
        <v>22</v>
      </c>
      <c r="C10" s="49"/>
      <c r="D10" s="49"/>
      <c r="E10" s="49"/>
      <c r="F10" s="49"/>
      <c r="G10" s="49"/>
      <c r="H10" s="49"/>
    </row>
    <row r="11" spans="1:13" ht="21" thickBot="1" x14ac:dyDescent="0.25">
      <c r="A11" s="172" t="s">
        <v>23</v>
      </c>
      <c r="B11" s="173"/>
      <c r="C11" s="173"/>
      <c r="D11" s="173"/>
      <c r="E11" s="174"/>
      <c r="F11" s="50"/>
      <c r="G11" s="42"/>
      <c r="K11" s="2"/>
    </row>
    <row r="12" spans="1:13" ht="13.5" thickBot="1" x14ac:dyDescent="0.25">
      <c r="A12" s="51"/>
      <c r="B12" s="52" t="s">
        <v>7</v>
      </c>
      <c r="C12" s="53" t="s">
        <v>6</v>
      </c>
      <c r="D12" s="54" t="s">
        <v>24</v>
      </c>
      <c r="E12" s="54" t="s">
        <v>25</v>
      </c>
      <c r="F12" s="55"/>
      <c r="G12" s="56"/>
      <c r="H12" s="57"/>
      <c r="I12" s="2"/>
      <c r="J12" s="2"/>
      <c r="K12" s="2"/>
      <c r="L12" s="57"/>
      <c r="M12" s="2"/>
    </row>
    <row r="13" spans="1:13" ht="15" x14ac:dyDescent="0.2">
      <c r="A13" s="58" t="str">
        <f>A3</f>
        <v>Kitchell</v>
      </c>
      <c r="B13" s="59">
        <f>((1-(H3-H7)/H7)*30)</f>
        <v>25.577051564419111</v>
      </c>
      <c r="C13" s="60">
        <f>RANK(B13,$B$13:$B$15,0)</f>
        <v>3</v>
      </c>
      <c r="D13" s="61">
        <f>$H$7-H3</f>
        <v>-734728.4191883821</v>
      </c>
      <c r="E13" s="62">
        <f>(-D13/$H$7)</f>
        <v>0.1474316145193629</v>
      </c>
      <c r="F13" s="63"/>
      <c r="G13" s="64"/>
      <c r="H13" s="2"/>
      <c r="L13" s="57"/>
    </row>
    <row r="14" spans="1:13" ht="15" x14ac:dyDescent="0.2">
      <c r="A14" s="58" t="str">
        <f t="shared" ref="A14:A15" si="1">A4</f>
        <v>Harvey Cleary</v>
      </c>
      <c r="B14" s="65">
        <f>((1-(H4-H7)/H7)*30)</f>
        <v>30</v>
      </c>
      <c r="C14" s="60">
        <f>RANK(B14,$B$13:$B$15,0)</f>
        <v>1</v>
      </c>
      <c r="D14" s="61">
        <f>$H$7-H4</f>
        <v>0</v>
      </c>
      <c r="E14" s="62">
        <f>(-D14/$H$7)</f>
        <v>0</v>
      </c>
      <c r="F14" s="63"/>
      <c r="G14" s="64"/>
      <c r="H14" s="2"/>
      <c r="L14" s="57"/>
    </row>
    <row r="15" spans="1:13" ht="15" x14ac:dyDescent="0.2">
      <c r="A15" s="58" t="str">
        <f t="shared" si="1"/>
        <v>Vaughn Construction</v>
      </c>
      <c r="B15" s="65">
        <f>((1-(H5-H7)/H7)*30)</f>
        <v>29.549712544197135</v>
      </c>
      <c r="C15" s="60">
        <f>RANK(B15,$B$13:$B$15,0)</f>
        <v>2</v>
      </c>
      <c r="D15" s="61">
        <f>$H$7-H5</f>
        <v>-74800.553386724554</v>
      </c>
      <c r="E15" s="62">
        <f>(-D15/$H$7)</f>
        <v>1.5009581860095522E-2</v>
      </c>
      <c r="F15" s="63"/>
      <c r="G15" s="66" t="s">
        <v>10</v>
      </c>
      <c r="H15" s="2"/>
      <c r="L15" s="57"/>
    </row>
    <row r="17" spans="1:13" ht="12.75" customHeight="1" x14ac:dyDescent="0.2"/>
    <row r="18" spans="1:13" ht="12.75" customHeight="1" x14ac:dyDescent="0.2">
      <c r="H18" s="67"/>
      <c r="J18" s="68"/>
      <c r="K18" s="68"/>
      <c r="L18" s="68"/>
      <c r="M18" s="68"/>
    </row>
    <row r="19" spans="1:13" ht="12.75" customHeight="1" x14ac:dyDescent="0.2">
      <c r="C19" s="100" t="s">
        <v>43</v>
      </c>
      <c r="D19" s="101"/>
      <c r="E19" s="102"/>
      <c r="F19" s="100" t="s">
        <v>44</v>
      </c>
      <c r="G19" s="107"/>
      <c r="H19" s="108"/>
    </row>
    <row r="20" spans="1:13" ht="12.75" customHeight="1" thickBot="1" x14ac:dyDescent="0.25">
      <c r="B20" s="57" t="s">
        <v>42</v>
      </c>
      <c r="C20" s="109" t="str">
        <f>A3</f>
        <v>Kitchell</v>
      </c>
      <c r="D20" s="110" t="str">
        <f>A4</f>
        <v>Harvey Cleary</v>
      </c>
      <c r="E20" s="111" t="str">
        <f>A5</f>
        <v>Vaughn Construction</v>
      </c>
      <c r="F20" s="109" t="str">
        <f>A3</f>
        <v>Kitchell</v>
      </c>
      <c r="G20" s="110" t="str">
        <f>A4</f>
        <v>Harvey Cleary</v>
      </c>
      <c r="H20" s="111" t="str">
        <f>A5</f>
        <v>Vaughn Construction</v>
      </c>
    </row>
    <row r="21" spans="1:13" ht="12.75" customHeight="1" x14ac:dyDescent="0.2">
      <c r="A21" s="94" t="s">
        <v>33</v>
      </c>
      <c r="B21" s="70">
        <v>0.25</v>
      </c>
      <c r="C21" s="113">
        <v>29987</v>
      </c>
      <c r="D21" s="113">
        <v>22367</v>
      </c>
      <c r="E21" s="113">
        <v>23344</v>
      </c>
      <c r="F21" s="103">
        <f t="shared" ref="F21:F29" si="2">C21*B21</f>
        <v>7496.75</v>
      </c>
      <c r="G21" s="104">
        <f t="shared" ref="G21:G29" si="3">D21*B21</f>
        <v>5591.75</v>
      </c>
      <c r="H21" s="105">
        <f>E21*B21</f>
        <v>5836</v>
      </c>
    </row>
    <row r="22" spans="1:13" ht="12.75" customHeight="1" x14ac:dyDescent="0.2">
      <c r="A22" s="95" t="s">
        <v>34</v>
      </c>
      <c r="B22" s="70">
        <v>1</v>
      </c>
      <c r="C22" s="113">
        <v>18720</v>
      </c>
      <c r="D22" s="113">
        <v>16320</v>
      </c>
      <c r="E22" s="113">
        <v>18519</v>
      </c>
      <c r="F22" s="103">
        <f t="shared" si="2"/>
        <v>18720</v>
      </c>
      <c r="G22" s="104">
        <f t="shared" si="3"/>
        <v>16320</v>
      </c>
      <c r="H22" s="105">
        <f t="shared" ref="H22:H29" si="4">E22*B22</f>
        <v>18519</v>
      </c>
    </row>
    <row r="23" spans="1:13" ht="12.75" customHeight="1" x14ac:dyDescent="0.2">
      <c r="A23" s="96" t="s">
        <v>35</v>
      </c>
      <c r="B23" s="70">
        <v>1</v>
      </c>
      <c r="C23" s="113">
        <v>18893</v>
      </c>
      <c r="D23" s="113">
        <v>18617</v>
      </c>
      <c r="E23" s="113">
        <v>19084</v>
      </c>
      <c r="F23" s="103">
        <f t="shared" si="2"/>
        <v>18893</v>
      </c>
      <c r="G23" s="104">
        <f t="shared" si="3"/>
        <v>18617</v>
      </c>
      <c r="H23" s="105">
        <f t="shared" si="4"/>
        <v>19084</v>
      </c>
    </row>
    <row r="24" spans="1:13" ht="12.75" customHeight="1" x14ac:dyDescent="0.2">
      <c r="A24" s="96" t="s">
        <v>36</v>
      </c>
      <c r="B24" s="70">
        <v>1</v>
      </c>
      <c r="C24" s="113">
        <v>15427</v>
      </c>
      <c r="D24" s="113">
        <v>11381</v>
      </c>
      <c r="E24" s="113">
        <v>13225</v>
      </c>
      <c r="F24" s="103">
        <f t="shared" si="2"/>
        <v>15427</v>
      </c>
      <c r="G24" s="104">
        <f t="shared" si="3"/>
        <v>11381</v>
      </c>
      <c r="H24" s="105">
        <f t="shared" si="4"/>
        <v>13225</v>
      </c>
    </row>
    <row r="25" spans="1:13" x14ac:dyDescent="0.2">
      <c r="A25" s="96" t="s">
        <v>37</v>
      </c>
      <c r="B25" s="70">
        <v>2</v>
      </c>
      <c r="C25" s="113">
        <v>12480</v>
      </c>
      <c r="D25" s="113">
        <v>10721</v>
      </c>
      <c r="E25" s="113">
        <v>11081</v>
      </c>
      <c r="F25" s="103">
        <f t="shared" si="2"/>
        <v>24960</v>
      </c>
      <c r="G25" s="104">
        <f t="shared" si="3"/>
        <v>21442</v>
      </c>
      <c r="H25" s="105">
        <f t="shared" si="4"/>
        <v>22162</v>
      </c>
    </row>
    <row r="26" spans="1:13" x14ac:dyDescent="0.2">
      <c r="A26" s="96" t="s">
        <v>38</v>
      </c>
      <c r="B26" s="70">
        <v>0.5</v>
      </c>
      <c r="C26" s="113">
        <v>14907</v>
      </c>
      <c r="D26" s="113">
        <v>5196</v>
      </c>
      <c r="E26" s="113">
        <v>13562</v>
      </c>
      <c r="F26" s="103">
        <f t="shared" si="2"/>
        <v>7453.5</v>
      </c>
      <c r="G26" s="104">
        <f t="shared" si="3"/>
        <v>2598</v>
      </c>
      <c r="H26" s="105">
        <f t="shared" si="4"/>
        <v>6781</v>
      </c>
    </row>
    <row r="27" spans="1:13" x14ac:dyDescent="0.2">
      <c r="A27" s="96" t="s">
        <v>39</v>
      </c>
      <c r="B27" s="70">
        <v>1</v>
      </c>
      <c r="C27" s="113">
        <v>14560</v>
      </c>
      <c r="D27" s="113">
        <v>13019</v>
      </c>
      <c r="E27" s="113">
        <v>11532</v>
      </c>
      <c r="F27" s="103">
        <f t="shared" si="2"/>
        <v>14560</v>
      </c>
      <c r="G27" s="104">
        <f t="shared" si="3"/>
        <v>13019</v>
      </c>
      <c r="H27" s="105">
        <f t="shared" si="4"/>
        <v>11532</v>
      </c>
    </row>
    <row r="28" spans="1:13" x14ac:dyDescent="0.2">
      <c r="A28" s="96" t="s">
        <v>40</v>
      </c>
      <c r="B28" s="70">
        <v>1</v>
      </c>
      <c r="C28" s="113">
        <v>12480</v>
      </c>
      <c r="D28" s="113">
        <v>11698</v>
      </c>
      <c r="E28" s="113">
        <v>11418</v>
      </c>
      <c r="F28" s="103">
        <f t="shared" si="2"/>
        <v>12480</v>
      </c>
      <c r="G28" s="104">
        <f t="shared" si="3"/>
        <v>11698</v>
      </c>
      <c r="H28" s="105">
        <f t="shared" si="4"/>
        <v>11418</v>
      </c>
    </row>
    <row r="29" spans="1:13" ht="13.5" thickBot="1" x14ac:dyDescent="0.25">
      <c r="A29" s="97" t="s">
        <v>41</v>
      </c>
      <c r="B29" s="70">
        <v>0.25</v>
      </c>
      <c r="C29" s="114">
        <v>11613</v>
      </c>
      <c r="D29" s="114">
        <v>7922</v>
      </c>
      <c r="E29" s="113">
        <v>6167</v>
      </c>
      <c r="F29" s="98">
        <f t="shared" si="2"/>
        <v>2903.25</v>
      </c>
      <c r="G29" s="99">
        <f t="shared" si="3"/>
        <v>1980.5</v>
      </c>
      <c r="H29" s="106">
        <f t="shared" si="4"/>
        <v>1541.75</v>
      </c>
    </row>
    <row r="30" spans="1:13" x14ac:dyDescent="0.2">
      <c r="C30" s="98">
        <f>SUM(C21:C29)</f>
        <v>149067</v>
      </c>
      <c r="D30" s="99">
        <f>SUM(D21:D29)</f>
        <v>117241</v>
      </c>
      <c r="E30" s="106">
        <f t="shared" ref="E30:F30" si="5">SUM(E21:E29)</f>
        <v>127932</v>
      </c>
      <c r="F30" s="98">
        <f t="shared" si="5"/>
        <v>122893.5</v>
      </c>
      <c r="G30" s="99">
        <f>SUM(G21:G29)</f>
        <v>102647.25</v>
      </c>
      <c r="H30" s="106">
        <f>SUM(H21:H29)</f>
        <v>110098.75</v>
      </c>
    </row>
  </sheetData>
  <mergeCells count="3">
    <mergeCell ref="A1:A2"/>
    <mergeCell ref="D1:E1"/>
    <mergeCell ref="A11:E11"/>
  </mergeCells>
  <phoneticPr fontId="59" type="noConversion"/>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6277-0C6B-4436-80B3-37A1C5427142}">
  <dimension ref="A1:T12"/>
  <sheetViews>
    <sheetView tabSelected="1" zoomScaleNormal="100" workbookViewId="0">
      <selection activeCell="G6" sqref="G6"/>
    </sheetView>
  </sheetViews>
  <sheetFormatPr defaultColWidth="9.140625" defaultRowHeight="15" x14ac:dyDescent="0.2"/>
  <cols>
    <col min="1" max="1" width="20.5703125" style="7" customWidth="1"/>
    <col min="2" max="5" width="8.85546875" style="7" bestFit="1" customWidth="1"/>
    <col min="6" max="6" width="8.85546875" style="7" customWidth="1"/>
    <col min="7" max="8" width="8.7109375" style="7" customWidth="1"/>
    <col min="9" max="9" width="8.85546875" style="7" bestFit="1" customWidth="1"/>
    <col min="10" max="10" width="5.140625" style="7" customWidth="1"/>
    <col min="11" max="11" width="8.42578125" style="7" customWidth="1"/>
    <col min="12" max="12" width="5.140625" style="7" customWidth="1"/>
    <col min="13" max="17" width="9.28515625" style="7" customWidth="1"/>
    <col min="18" max="18" width="8.85546875" style="7" bestFit="1" customWidth="1"/>
    <col min="19" max="19" width="4.140625" style="7" bestFit="1" customWidth="1"/>
    <col min="20" max="20" width="16.42578125" style="7" customWidth="1"/>
    <col min="21" max="16384" width="9.140625" style="7"/>
  </cols>
  <sheetData>
    <row r="1" spans="1:20" ht="15.75" x14ac:dyDescent="0.25">
      <c r="A1" s="5" t="s">
        <v>55</v>
      </c>
      <c r="B1" s="6"/>
      <c r="C1" s="5"/>
      <c r="D1" s="5"/>
      <c r="E1" s="5"/>
      <c r="F1" s="5"/>
      <c r="G1" s="5"/>
      <c r="H1" s="5"/>
      <c r="I1" s="5"/>
      <c r="J1" s="5"/>
      <c r="K1" s="5"/>
      <c r="L1" s="5"/>
      <c r="M1" s="5"/>
      <c r="N1" s="5"/>
      <c r="O1" s="5"/>
      <c r="P1" s="5"/>
      <c r="Q1" s="5"/>
      <c r="R1" s="5"/>
      <c r="S1" s="5"/>
      <c r="T1" s="5"/>
    </row>
    <row r="2" spans="1:20" ht="6" customHeight="1" x14ac:dyDescent="0.25">
      <c r="A2" s="5"/>
      <c r="B2" s="6"/>
      <c r="C2" s="5"/>
      <c r="D2" s="5"/>
      <c r="E2" s="5"/>
      <c r="F2" s="5"/>
      <c r="G2" s="5"/>
      <c r="H2" s="5"/>
      <c r="I2" s="5"/>
      <c r="J2" s="5"/>
      <c r="K2" s="5"/>
      <c r="L2" s="5"/>
      <c r="M2" s="5"/>
      <c r="N2" s="5"/>
      <c r="O2" s="5"/>
      <c r="P2" s="5"/>
      <c r="Q2" s="5"/>
      <c r="R2" s="5"/>
      <c r="S2" s="5"/>
      <c r="T2" s="5"/>
    </row>
    <row r="3" spans="1:20" ht="15.75" x14ac:dyDescent="0.25">
      <c r="A3" s="175" t="s">
        <v>51</v>
      </c>
      <c r="B3" s="175"/>
      <c r="C3" s="175"/>
      <c r="D3" s="175"/>
      <c r="E3" s="175"/>
      <c r="F3" s="175"/>
      <c r="G3" s="175"/>
      <c r="H3" s="175"/>
      <c r="I3" s="175"/>
      <c r="J3" s="71"/>
      <c r="K3" s="71"/>
      <c r="L3" s="71"/>
      <c r="M3" s="71"/>
      <c r="N3" s="71"/>
      <c r="O3" s="71"/>
      <c r="P3" s="71"/>
      <c r="Q3" s="71"/>
      <c r="R3" s="71"/>
      <c r="S3" s="71"/>
      <c r="T3" s="71"/>
    </row>
    <row r="4" spans="1:20" x14ac:dyDescent="0.2">
      <c r="A4" s="6"/>
      <c r="B4" s="6"/>
      <c r="C4" s="6"/>
      <c r="D4" s="6"/>
      <c r="E4" s="6"/>
      <c r="F4" s="6"/>
      <c r="G4" s="6"/>
      <c r="H4" s="6"/>
      <c r="I4" s="6"/>
      <c r="J4" s="6"/>
      <c r="K4" s="6"/>
      <c r="L4" s="6"/>
      <c r="M4" s="6"/>
      <c r="N4" s="6"/>
      <c r="O4" s="6"/>
      <c r="P4" s="6"/>
      <c r="Q4" s="6"/>
      <c r="R4" s="6"/>
      <c r="S4" s="6"/>
      <c r="T4" s="6"/>
    </row>
    <row r="5" spans="1:20" ht="16.5" thickBot="1" x14ac:dyDescent="0.3">
      <c r="B5" s="8" t="s">
        <v>52</v>
      </c>
      <c r="C5" s="8"/>
      <c r="D5" s="8"/>
      <c r="E5" s="8"/>
      <c r="F5" s="8"/>
      <c r="G5" s="8"/>
      <c r="H5" s="8"/>
      <c r="I5" s="8"/>
      <c r="J5" s="8"/>
      <c r="K5" s="72" t="s">
        <v>26</v>
      </c>
      <c r="L5" s="8"/>
      <c r="M5" s="73" t="s">
        <v>53</v>
      </c>
      <c r="N5" s="73"/>
      <c r="O5" s="73"/>
      <c r="P5" s="73"/>
      <c r="Q5" s="73"/>
      <c r="R5" s="73"/>
      <c r="S5" s="73"/>
      <c r="T5" s="8"/>
    </row>
    <row r="6" spans="1:20" s="11" customFormat="1" ht="135" customHeight="1" x14ac:dyDescent="0.2">
      <c r="A6" s="9"/>
      <c r="B6" s="74" t="s">
        <v>80</v>
      </c>
      <c r="C6" s="75" t="s">
        <v>81</v>
      </c>
      <c r="D6" s="75" t="s">
        <v>82</v>
      </c>
      <c r="E6" s="75" t="s">
        <v>83</v>
      </c>
      <c r="F6" s="75" t="s">
        <v>84</v>
      </c>
      <c r="G6" s="76" t="s">
        <v>27</v>
      </c>
      <c r="H6" s="77" t="s">
        <v>54</v>
      </c>
      <c r="I6" s="78" t="s">
        <v>28</v>
      </c>
      <c r="J6" s="79"/>
      <c r="K6" s="78" t="s">
        <v>29</v>
      </c>
      <c r="L6" s="79"/>
      <c r="M6" s="74" t="str">
        <f>B6</f>
        <v>Evaluator 1</v>
      </c>
      <c r="N6" s="75" t="str">
        <f>C6</f>
        <v>Evaluator 2</v>
      </c>
      <c r="O6" s="75" t="str">
        <f>D6</f>
        <v>Evaluator 3</v>
      </c>
      <c r="P6" s="75" t="str">
        <f>E6</f>
        <v>Evaluator 4</v>
      </c>
      <c r="Q6" s="75" t="str">
        <f>F6</f>
        <v>Evaluator 5</v>
      </c>
      <c r="R6" s="80" t="s">
        <v>30</v>
      </c>
      <c r="S6" s="81" t="s">
        <v>31</v>
      </c>
      <c r="T6" s="79"/>
    </row>
    <row r="7" spans="1:20" ht="16.5" customHeight="1" x14ac:dyDescent="0.2">
      <c r="A7" s="12" t="str">
        <f>'1'!A4:C4</f>
        <v>Kitchell</v>
      </c>
      <c r="B7" s="115">
        <f>'1'!K4</f>
        <v>61.577051564419108</v>
      </c>
      <c r="C7" s="116">
        <f>'2'!K4</f>
        <v>37.577051564419108</v>
      </c>
      <c r="D7" s="116">
        <f>'3'!K4</f>
        <v>67.577051564419108</v>
      </c>
      <c r="E7" s="116">
        <f>'4'!K4</f>
        <v>58.777051564419111</v>
      </c>
      <c r="F7" s="116">
        <f>'5'!K4</f>
        <v>67.577051564419108</v>
      </c>
      <c r="G7" s="117">
        <f>AVERAGE(B7:F7)</f>
        <v>58.617051564419114</v>
      </c>
      <c r="H7" s="118">
        <f>SUM(B7:F7)</f>
        <v>293.08525782209557</v>
      </c>
      <c r="I7" s="119">
        <f>RANK(H7,$H$7:$H$9,0)</f>
        <v>3</v>
      </c>
      <c r="J7" s="79"/>
      <c r="K7" s="125">
        <f>HUB!I4</f>
        <v>10</v>
      </c>
      <c r="L7" s="79"/>
      <c r="M7" s="115">
        <f>B7+$K$7</f>
        <v>71.577051564419108</v>
      </c>
      <c r="N7" s="116">
        <f>C7+$K$7</f>
        <v>47.577051564419108</v>
      </c>
      <c r="O7" s="116">
        <f>D7+$K$7</f>
        <v>77.577051564419108</v>
      </c>
      <c r="P7" s="116">
        <f>E7+$K$7</f>
        <v>68.777051564419111</v>
      </c>
      <c r="Q7" s="116">
        <f>F7+$K$7</f>
        <v>77.577051564419108</v>
      </c>
      <c r="R7" s="83">
        <f>SUM(M7:Q7)</f>
        <v>343.08525782209551</v>
      </c>
      <c r="S7" s="84">
        <f>RANK(R7,$R$7:$R$9,0)</f>
        <v>3</v>
      </c>
      <c r="T7" s="10"/>
    </row>
    <row r="8" spans="1:20" s="141" customFormat="1" ht="16.5" customHeight="1" x14ac:dyDescent="0.2">
      <c r="A8" s="131" t="str">
        <f>'1'!A5:C5</f>
        <v>Harvey Cleary</v>
      </c>
      <c r="B8" s="132">
        <f>'1'!K5</f>
        <v>87.1</v>
      </c>
      <c r="C8" s="133">
        <f>'2'!K5</f>
        <v>90</v>
      </c>
      <c r="D8" s="133">
        <f>'3'!K5</f>
        <v>87</v>
      </c>
      <c r="E8" s="133">
        <f>'4'!K5</f>
        <v>87.3</v>
      </c>
      <c r="F8" s="133">
        <f>'5'!K5</f>
        <v>82.5</v>
      </c>
      <c r="G8" s="134">
        <f>AVERAGE(B8:F8)</f>
        <v>86.78</v>
      </c>
      <c r="H8" s="135">
        <f>SUM(B8:F8)</f>
        <v>433.90000000000003</v>
      </c>
      <c r="I8" s="136">
        <f t="shared" ref="I8:I9" si="0">RANK(H8,$H$7:$H$9,0)</f>
        <v>1</v>
      </c>
      <c r="J8" s="137"/>
      <c r="K8" s="138">
        <f>HUB!I5</f>
        <v>10</v>
      </c>
      <c r="L8" s="137"/>
      <c r="M8" s="132">
        <f>B8+$K$8</f>
        <v>97.1</v>
      </c>
      <c r="N8" s="133">
        <f>C8+$K$8</f>
        <v>100</v>
      </c>
      <c r="O8" s="133">
        <f>D8+$K$8</f>
        <v>97</v>
      </c>
      <c r="P8" s="133">
        <f>E8+$K$8</f>
        <v>97.3</v>
      </c>
      <c r="Q8" s="133">
        <f>F8+$K$8</f>
        <v>92.5</v>
      </c>
      <c r="R8" s="139">
        <f>SUM(M8:Q8)</f>
        <v>483.90000000000003</v>
      </c>
      <c r="S8" s="136">
        <f>RANK(R8,$R$7:$R$9,0)</f>
        <v>1</v>
      </c>
      <c r="T8" s="140"/>
    </row>
    <row r="9" spans="1:20" ht="16.5" customHeight="1" thickBot="1" x14ac:dyDescent="0.25">
      <c r="A9" s="12" t="str">
        <f>'1'!A6:C6</f>
        <v>Vaughn Construction</v>
      </c>
      <c r="B9" s="120">
        <f>'1'!K6</f>
        <v>80.449712544197141</v>
      </c>
      <c r="C9" s="121">
        <f>'2'!K6</f>
        <v>56.549712544197135</v>
      </c>
      <c r="D9" s="121">
        <f>'3'!K6</f>
        <v>81.549712544197135</v>
      </c>
      <c r="E9" s="121">
        <f>'4'!K6</f>
        <v>81.849712544197132</v>
      </c>
      <c r="F9" s="121">
        <f>'5'!K6</f>
        <v>79.049712544197135</v>
      </c>
      <c r="G9" s="122">
        <f>AVERAGE(B9:F9)</f>
        <v>75.889712544197124</v>
      </c>
      <c r="H9" s="123">
        <f>SUM(B9:F9)</f>
        <v>379.44856272098565</v>
      </c>
      <c r="I9" s="124">
        <f t="shared" si="0"/>
        <v>2</v>
      </c>
      <c r="J9" s="82"/>
      <c r="K9" s="125">
        <f>HUB!I6</f>
        <v>10</v>
      </c>
      <c r="L9" s="79"/>
      <c r="M9" s="120">
        <f>B9+$K$9</f>
        <v>90.449712544197141</v>
      </c>
      <c r="N9" s="121">
        <f>C9+$K$9</f>
        <v>66.549712544197135</v>
      </c>
      <c r="O9" s="121">
        <f>D9+$K$9</f>
        <v>91.549712544197135</v>
      </c>
      <c r="P9" s="121">
        <f>E9+$K$9</f>
        <v>91.849712544197132</v>
      </c>
      <c r="Q9" s="121">
        <f>F9+$K$9</f>
        <v>89.049712544197135</v>
      </c>
      <c r="R9" s="92">
        <f>SUM(M9:Q9)</f>
        <v>429.44856272098565</v>
      </c>
      <c r="S9" s="93">
        <f>RANK(R9,$R$7:$R$9,0)</f>
        <v>2</v>
      </c>
      <c r="T9" s="10"/>
    </row>
    <row r="11" spans="1:20" x14ac:dyDescent="0.2">
      <c r="K11" s="85"/>
      <c r="L11" s="85"/>
      <c r="M11" s="86"/>
      <c r="N11" s="86"/>
      <c r="O11" s="86"/>
      <c r="P11" s="86"/>
      <c r="Q11" s="86"/>
      <c r="R11" s="86"/>
      <c r="S11" s="86"/>
      <c r="T11" s="86"/>
    </row>
    <row r="12" spans="1:20" x14ac:dyDescent="0.2">
      <c r="K12" s="85"/>
      <c r="L12" s="85"/>
      <c r="M12" s="86"/>
      <c r="N12" s="86"/>
      <c r="O12" s="86"/>
      <c r="P12" s="86"/>
      <c r="Q12" s="86"/>
      <c r="R12" s="86"/>
      <c r="S12" s="86"/>
      <c r="T12" s="86"/>
    </row>
  </sheetData>
  <mergeCells count="1">
    <mergeCell ref="A3:I3"/>
  </mergeCells>
  <phoneticPr fontId="43"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4CCA-B0CA-4D0A-99FE-7266873FCBD0}">
  <dimension ref="A1:V47"/>
  <sheetViews>
    <sheetView zoomScaleNormal="100" workbookViewId="0">
      <selection activeCell="H26" sqref="H26"/>
    </sheetView>
  </sheetViews>
  <sheetFormatPr defaultRowHeight="12.75" x14ac:dyDescent="0.2"/>
  <cols>
    <col min="1" max="1" width="20.7109375" style="145" customWidth="1"/>
    <col min="2" max="22" width="9.5703125" style="145" customWidth="1"/>
    <col min="23" max="16384" width="9.140625" style="145"/>
  </cols>
  <sheetData>
    <row r="1" spans="1:22" ht="15.75" customHeight="1" x14ac:dyDescent="0.25">
      <c r="A1" s="202" t="s">
        <v>56</v>
      </c>
      <c r="B1" s="202"/>
      <c r="C1" s="202"/>
      <c r="D1" s="202"/>
      <c r="E1" s="202"/>
      <c r="F1" s="202"/>
      <c r="G1" s="202"/>
      <c r="H1" s="202"/>
      <c r="I1" s="202"/>
      <c r="J1" s="144"/>
    </row>
    <row r="2" spans="1:22" ht="15.75" x14ac:dyDescent="0.25">
      <c r="A2" s="203" t="s">
        <v>51</v>
      </c>
      <c r="B2" s="203"/>
      <c r="C2" s="203"/>
      <c r="D2" s="203"/>
      <c r="E2" s="203"/>
      <c r="F2" s="203"/>
      <c r="G2" s="203"/>
      <c r="H2" s="203"/>
      <c r="I2" s="203"/>
      <c r="J2" s="146"/>
    </row>
    <row r="3" spans="1:22" x14ac:dyDescent="0.2">
      <c r="A3" s="147" t="s">
        <v>57</v>
      </c>
      <c r="B3" s="204"/>
      <c r="C3" s="205"/>
      <c r="D3" s="206"/>
    </row>
    <row r="4" spans="1:22" ht="15" customHeight="1" x14ac:dyDescent="0.25">
      <c r="A4" s="147" t="s">
        <v>58</v>
      </c>
      <c r="B4" s="207" t="s">
        <v>59</v>
      </c>
      <c r="C4" s="207"/>
      <c r="D4" s="207"/>
      <c r="E4" s="208"/>
    </row>
    <row r="5" spans="1:22" ht="20.25" customHeight="1" x14ac:dyDescent="0.25">
      <c r="A5" s="209" t="s">
        <v>60</v>
      </c>
      <c r="B5" s="209"/>
      <c r="C5" s="148"/>
      <c r="D5" s="148"/>
      <c r="E5" s="148"/>
      <c r="F5" s="148"/>
      <c r="G5" s="148"/>
    </row>
    <row r="6" spans="1:22" ht="27" customHeight="1" x14ac:dyDescent="0.2">
      <c r="A6" s="149"/>
      <c r="B6" s="201" t="s">
        <v>61</v>
      </c>
      <c r="C6" s="201"/>
      <c r="D6" s="201"/>
      <c r="E6" s="201"/>
      <c r="F6" s="201"/>
      <c r="G6" s="201"/>
      <c r="H6" s="201"/>
      <c r="I6" s="201"/>
    </row>
    <row r="7" spans="1:22" ht="20.25" customHeight="1" x14ac:dyDescent="0.25">
      <c r="A7" s="200" t="s">
        <v>62</v>
      </c>
      <c r="B7" s="200"/>
      <c r="C7" s="150"/>
      <c r="D7" s="151"/>
      <c r="E7" s="151"/>
      <c r="F7" s="151"/>
      <c r="G7" s="151"/>
    </row>
    <row r="8" spans="1:22" ht="27" customHeight="1" x14ac:dyDescent="0.2">
      <c r="A8" s="149"/>
      <c r="B8" s="201" t="s">
        <v>63</v>
      </c>
      <c r="C8" s="201"/>
      <c r="D8" s="201"/>
      <c r="E8" s="201"/>
      <c r="F8" s="201"/>
      <c r="G8" s="201"/>
      <c r="H8" s="201"/>
      <c r="I8" s="201"/>
    </row>
    <row r="9" spans="1:22" ht="15" customHeight="1" x14ac:dyDescent="0.2"/>
    <row r="10" spans="1:22" ht="15" customHeight="1" x14ac:dyDescent="0.2"/>
    <row r="11" spans="1:22" ht="11.25" customHeight="1" thickBot="1" x14ac:dyDescent="0.25"/>
    <row r="12" spans="1:22" s="152" customFormat="1" ht="13.5" thickBot="1" x14ac:dyDescent="0.25">
      <c r="B12" s="191" t="s">
        <v>64</v>
      </c>
      <c r="C12" s="192"/>
      <c r="D12" s="193"/>
      <c r="E12" s="191" t="s">
        <v>65</v>
      </c>
      <c r="F12" s="192"/>
      <c r="G12" s="193"/>
      <c r="H12" s="191" t="s">
        <v>66</v>
      </c>
      <c r="I12" s="192"/>
      <c r="J12" s="193"/>
      <c r="K12" s="191" t="s">
        <v>67</v>
      </c>
      <c r="L12" s="192"/>
      <c r="M12" s="193"/>
      <c r="N12" s="191" t="s">
        <v>68</v>
      </c>
      <c r="O12" s="192"/>
      <c r="P12" s="193"/>
      <c r="Q12" s="191" t="s">
        <v>69</v>
      </c>
      <c r="R12" s="192"/>
      <c r="S12" s="193"/>
      <c r="T12" s="191" t="s">
        <v>70</v>
      </c>
      <c r="U12" s="192"/>
      <c r="V12" s="193"/>
    </row>
    <row r="13" spans="1:22" s="152" customFormat="1" ht="105.75" customHeight="1" x14ac:dyDescent="0.2">
      <c r="B13" s="194" t="s">
        <v>71</v>
      </c>
      <c r="C13" s="195"/>
      <c r="D13" s="196"/>
      <c r="E13" s="194" t="s">
        <v>72</v>
      </c>
      <c r="F13" s="195"/>
      <c r="G13" s="196"/>
      <c r="H13" s="194" t="s">
        <v>73</v>
      </c>
      <c r="I13" s="195"/>
      <c r="J13" s="196"/>
      <c r="K13" s="194" t="s">
        <v>74</v>
      </c>
      <c r="L13" s="195"/>
      <c r="M13" s="196"/>
      <c r="N13" s="194" t="s">
        <v>75</v>
      </c>
      <c r="O13" s="195"/>
      <c r="P13" s="196"/>
      <c r="Q13" s="197" t="s">
        <v>76</v>
      </c>
      <c r="R13" s="198"/>
      <c r="S13" s="199"/>
      <c r="T13" s="197" t="s">
        <v>77</v>
      </c>
      <c r="U13" s="198"/>
      <c r="V13" s="199"/>
    </row>
    <row r="14" spans="1:22" s="154" customFormat="1" ht="11.25" customHeight="1" x14ac:dyDescent="0.2">
      <c r="A14" s="153"/>
      <c r="B14" s="182" t="s">
        <v>78</v>
      </c>
      <c r="C14" s="183"/>
      <c r="D14" s="184"/>
      <c r="E14" s="182" t="s">
        <v>78</v>
      </c>
      <c r="F14" s="183"/>
      <c r="G14" s="184"/>
      <c r="H14" s="182" t="s">
        <v>78</v>
      </c>
      <c r="I14" s="183"/>
      <c r="J14" s="184"/>
      <c r="K14" s="182" t="s">
        <v>78</v>
      </c>
      <c r="L14" s="183"/>
      <c r="M14" s="184"/>
      <c r="N14" s="182" t="s">
        <v>78</v>
      </c>
      <c r="O14" s="183"/>
      <c r="P14" s="184"/>
      <c r="Q14" s="182" t="s">
        <v>78</v>
      </c>
      <c r="R14" s="183"/>
      <c r="S14" s="184"/>
      <c r="T14" s="182" t="s">
        <v>78</v>
      </c>
      <c r="U14" s="183"/>
      <c r="V14" s="184"/>
    </row>
    <row r="15" spans="1:22" s="154" customFormat="1" x14ac:dyDescent="0.2">
      <c r="A15" s="155" t="s">
        <v>48</v>
      </c>
      <c r="B15" s="185"/>
      <c r="C15" s="186"/>
      <c r="D15" s="187"/>
      <c r="E15" s="185"/>
      <c r="F15" s="186"/>
      <c r="G15" s="187"/>
      <c r="H15" s="185"/>
      <c r="I15" s="186"/>
      <c r="J15" s="187"/>
      <c r="K15" s="185"/>
      <c r="L15" s="186"/>
      <c r="M15" s="187"/>
      <c r="N15" s="185"/>
      <c r="O15" s="186"/>
      <c r="P15" s="187"/>
      <c r="Q15" s="188"/>
      <c r="R15" s="189"/>
      <c r="S15" s="190"/>
      <c r="T15" s="188"/>
      <c r="U15" s="189"/>
      <c r="V15" s="190"/>
    </row>
    <row r="16" spans="1:22" s="154" customFormat="1" x14ac:dyDescent="0.2">
      <c r="A16" s="155" t="s">
        <v>49</v>
      </c>
      <c r="B16" s="179"/>
      <c r="C16" s="180"/>
      <c r="D16" s="181"/>
      <c r="E16" s="179"/>
      <c r="F16" s="180"/>
      <c r="G16" s="181"/>
      <c r="H16" s="179"/>
      <c r="I16" s="180"/>
      <c r="J16" s="181"/>
      <c r="K16" s="179"/>
      <c r="L16" s="180"/>
      <c r="M16" s="181"/>
      <c r="N16" s="179"/>
      <c r="O16" s="180"/>
      <c r="P16" s="181"/>
      <c r="Q16" s="176"/>
      <c r="R16" s="177"/>
      <c r="S16" s="178"/>
      <c r="T16" s="176"/>
      <c r="U16" s="177"/>
      <c r="V16" s="178"/>
    </row>
    <row r="17" spans="1:22" s="154" customFormat="1" x14ac:dyDescent="0.2">
      <c r="A17" s="155" t="s">
        <v>50</v>
      </c>
      <c r="B17" s="179"/>
      <c r="C17" s="180"/>
      <c r="D17" s="181"/>
      <c r="E17" s="179"/>
      <c r="F17" s="180"/>
      <c r="G17" s="181"/>
      <c r="H17" s="179"/>
      <c r="I17" s="180"/>
      <c r="J17" s="181"/>
      <c r="K17" s="179"/>
      <c r="L17" s="180"/>
      <c r="M17" s="181"/>
      <c r="N17" s="179"/>
      <c r="O17" s="180"/>
      <c r="P17" s="181"/>
      <c r="Q17" s="176"/>
      <c r="R17" s="177"/>
      <c r="S17" s="178"/>
      <c r="T17" s="176"/>
      <c r="U17" s="177"/>
      <c r="V17" s="178"/>
    </row>
    <row r="18" spans="1:22" s="157" customFormat="1" ht="7.5" customHeight="1" x14ac:dyDescent="0.2">
      <c r="A18" s="156"/>
      <c r="B18" s="156"/>
      <c r="C18" s="156"/>
      <c r="D18" s="156"/>
      <c r="E18" s="156"/>
      <c r="F18" s="156"/>
      <c r="G18" s="156"/>
      <c r="H18" s="156"/>
      <c r="I18" s="156"/>
      <c r="J18" s="156"/>
      <c r="K18" s="156"/>
      <c r="L18" s="156"/>
      <c r="M18" s="156"/>
      <c r="N18" s="156"/>
      <c r="O18" s="156"/>
      <c r="P18" s="156"/>
      <c r="Q18" s="156"/>
      <c r="R18" s="156"/>
      <c r="S18" s="156"/>
      <c r="T18" s="156"/>
      <c r="U18" s="156"/>
      <c r="V18" s="156"/>
    </row>
    <row r="19" spans="1:22" s="158" customFormat="1" ht="6.75" customHeight="1" x14ac:dyDescent="0.2"/>
    <row r="21" spans="1:22" x14ac:dyDescent="0.2">
      <c r="A21" s="159"/>
      <c r="G21" s="160"/>
      <c r="H21" s="160"/>
    </row>
    <row r="22" spans="1:22" x14ac:dyDescent="0.2">
      <c r="A22" s="161"/>
      <c r="G22" s="160"/>
      <c r="H22" s="160"/>
      <c r="I22" s="160"/>
      <c r="J22" s="160"/>
    </row>
    <row r="23" spans="1:22" ht="15" x14ac:dyDescent="0.25">
      <c r="A23" s="162"/>
      <c r="B23" s="162"/>
      <c r="C23" s="162"/>
      <c r="D23" s="163"/>
      <c r="G23" s="160"/>
      <c r="H23" s="160"/>
      <c r="I23" s="160"/>
      <c r="J23" s="160"/>
    </row>
    <row r="24" spans="1:22" ht="15" x14ac:dyDescent="0.25">
      <c r="A24" s="162"/>
      <c r="B24" s="162"/>
      <c r="C24" s="162"/>
      <c r="D24" s="163"/>
      <c r="G24" s="160"/>
      <c r="H24" s="160"/>
      <c r="I24" s="160"/>
      <c r="J24" s="160"/>
    </row>
    <row r="25" spans="1:22" ht="15" x14ac:dyDescent="0.25">
      <c r="A25" s="162"/>
      <c r="B25" s="162"/>
      <c r="C25" s="162"/>
      <c r="D25" s="163"/>
      <c r="G25" s="160"/>
      <c r="H25" s="160"/>
      <c r="I25" s="160"/>
      <c r="J25" s="160"/>
    </row>
    <row r="26" spans="1:22" ht="15" x14ac:dyDescent="0.25">
      <c r="A26" s="162"/>
      <c r="B26" s="162"/>
      <c r="C26" s="162"/>
      <c r="D26" s="163"/>
      <c r="G26" s="160"/>
      <c r="H26" s="164"/>
      <c r="I26" s="160"/>
      <c r="J26" s="160"/>
    </row>
    <row r="27" spans="1:22" ht="15" x14ac:dyDescent="0.25">
      <c r="A27" s="162"/>
      <c r="B27" s="162"/>
      <c r="C27" s="162"/>
      <c r="D27" s="163"/>
      <c r="G27" s="160"/>
      <c r="H27" s="160"/>
      <c r="I27" s="160"/>
      <c r="J27" s="160"/>
    </row>
    <row r="28" spans="1:22" ht="15" x14ac:dyDescent="0.25">
      <c r="A28" s="162"/>
      <c r="B28" s="162"/>
      <c r="C28" s="162"/>
      <c r="D28" s="163"/>
      <c r="G28" s="160"/>
      <c r="H28" s="160"/>
      <c r="I28" s="160"/>
      <c r="J28" s="160"/>
    </row>
    <row r="29" spans="1:22" x14ac:dyDescent="0.2">
      <c r="A29" s="162"/>
      <c r="B29" s="162"/>
      <c r="C29" s="162"/>
      <c r="G29" s="160"/>
      <c r="I29" s="160"/>
      <c r="J29" s="160"/>
      <c r="K29" s="160"/>
      <c r="L29" s="160"/>
    </row>
    <row r="30" spans="1:22" x14ac:dyDescent="0.2">
      <c r="I30" s="160"/>
      <c r="J30" s="160"/>
      <c r="K30" s="160"/>
      <c r="L30" s="160"/>
      <c r="M30" s="160"/>
    </row>
    <row r="31" spans="1:22" x14ac:dyDescent="0.2">
      <c r="L31" s="160"/>
      <c r="M31" s="160"/>
    </row>
    <row r="32" spans="1:22" x14ac:dyDescent="0.2">
      <c r="L32" s="160"/>
      <c r="M32" s="160"/>
    </row>
    <row r="33" spans="1:13" x14ac:dyDescent="0.2">
      <c r="L33" s="160"/>
      <c r="M33" s="160"/>
    </row>
    <row r="34" spans="1:13" x14ac:dyDescent="0.2">
      <c r="L34" s="160"/>
      <c r="M34" s="160"/>
    </row>
    <row r="47" spans="1:13" x14ac:dyDescent="0.2">
      <c r="A47" s="165" t="s">
        <v>79</v>
      </c>
    </row>
  </sheetData>
  <mergeCells count="50">
    <mergeCell ref="B6:I6"/>
    <mergeCell ref="A1:I1"/>
    <mergeCell ref="A2:I2"/>
    <mergeCell ref="B3:D3"/>
    <mergeCell ref="B4:E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HUB</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2025-05-06T14:40:24Z</dcterms:modified>
</cp:coreProperties>
</file>