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68 CMAR Dining Commons Step 2 - Eric Shen\Evaluations\"/>
    </mc:Choice>
  </mc:AlternateContent>
  <xr:revisionPtr revIDLastSave="0" documentId="13_ncr:1_{0B103E52-F24A-43B5-BC9D-78E00B73FE54}" xr6:coauthVersionLast="47" xr6:coauthVersionMax="47" xr10:uidLastSave="{00000000-0000-0000-0000-000000000000}"/>
  <bookViews>
    <workbookView xWindow="-120" yWindow="-120" windowWidth="29040" windowHeight="15840" tabRatio="722" activeTab="8" xr2:uid="{00000000-000D-0000-FFFF-FFFF00000000}"/>
  </bookViews>
  <sheets>
    <sheet name="1" sheetId="2" r:id="rId1"/>
    <sheet name="2" sheetId="3" r:id="rId2"/>
    <sheet name="3" sheetId="5" r:id="rId3"/>
    <sheet name="4" sheetId="9" r:id="rId4"/>
    <sheet name="5" sheetId="15" r:id="rId5"/>
    <sheet name="HUB" sheetId="18" r:id="rId6"/>
    <sheet name="Cost Summary" sheetId="14" r:id="rId7"/>
    <sheet name="Summary" sheetId="17" r:id="rId8"/>
    <sheet name="Evaluation" sheetId="19"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4" l="1"/>
  <c r="G4" i="14"/>
  <c r="G3" i="14"/>
  <c r="A8" i="17" l="1"/>
  <c r="A9" i="17"/>
  <c r="A7" i="17"/>
  <c r="K8" i="17"/>
  <c r="K9" i="17"/>
  <c r="K7" i="17"/>
  <c r="A5" i="18"/>
  <c r="A6" i="18"/>
  <c r="A4" i="18"/>
  <c r="A4" i="14" l="1"/>
  <c r="A5" i="14"/>
  <c r="A3" i="14"/>
  <c r="G22" i="14" l="1"/>
  <c r="H22" i="14"/>
  <c r="G23" i="14"/>
  <c r="H23" i="14"/>
  <c r="G24" i="14"/>
  <c r="H24" i="14"/>
  <c r="G25" i="14"/>
  <c r="H25" i="14"/>
  <c r="G26" i="14"/>
  <c r="H26" i="14"/>
  <c r="G27" i="14"/>
  <c r="H27" i="14"/>
  <c r="G28" i="14"/>
  <c r="H28" i="14"/>
  <c r="G29" i="14"/>
  <c r="H29" i="14"/>
  <c r="H21" i="14"/>
  <c r="G21" i="14"/>
  <c r="F22" i="14"/>
  <c r="F23" i="14"/>
  <c r="F24" i="14"/>
  <c r="F25" i="14"/>
  <c r="F26" i="14"/>
  <c r="F27" i="14"/>
  <c r="F28" i="14"/>
  <c r="F29" i="14"/>
  <c r="F21" i="14"/>
  <c r="H20" i="14"/>
  <c r="G20" i="14"/>
  <c r="F20" i="14"/>
  <c r="E20" i="14"/>
  <c r="D20" i="14"/>
  <c r="D30" i="14"/>
  <c r="H30" i="14" l="1"/>
  <c r="E5" i="14" s="1"/>
  <c r="F30" i="14"/>
  <c r="E3" i="14" s="1"/>
  <c r="E30" i="14" l="1"/>
  <c r="G30" i="14"/>
  <c r="E4" i="14" s="1"/>
  <c r="C30" i="14"/>
  <c r="C20" i="14"/>
  <c r="N6" i="17"/>
  <c r="O6" i="17"/>
  <c r="P6" i="17"/>
  <c r="Q6" i="17"/>
  <c r="K5" i="18"/>
  <c r="K6" i="18"/>
  <c r="K4" i="18"/>
  <c r="M6" i="17"/>
  <c r="A15" i="14" l="1"/>
  <c r="F5" i="14"/>
  <c r="J5" i="14" s="1"/>
  <c r="B5" i="14" s="1"/>
  <c r="H5" i="14" s="1"/>
  <c r="F4" i="14"/>
  <c r="J4" i="14" s="1"/>
  <c r="B4" i="14" s="1"/>
  <c r="H4" i="14" s="1"/>
  <c r="A14" i="14"/>
  <c r="F3" i="14"/>
  <c r="J3" i="14" s="1"/>
  <c r="B3" i="14" s="1"/>
  <c r="H3" i="14" s="1"/>
  <c r="A13" i="14"/>
  <c r="H7" i="14" l="1"/>
  <c r="B14" i="14" s="1"/>
  <c r="J5" i="3" s="1"/>
  <c r="K5" i="3" s="1"/>
  <c r="J5" i="15" l="1"/>
  <c r="K5" i="15" s="1"/>
  <c r="F8" i="17" s="1"/>
  <c r="Q8" i="17" s="1"/>
  <c r="J5" i="9"/>
  <c r="K5" i="9" s="1"/>
  <c r="E8" i="17" s="1"/>
  <c r="P8" i="17" s="1"/>
  <c r="J5" i="5"/>
  <c r="K5" i="5" s="1"/>
  <c r="D8" i="17" s="1"/>
  <c r="O8" i="17" s="1"/>
  <c r="C8" i="17"/>
  <c r="N8" i="17" s="1"/>
  <c r="B15" i="14"/>
  <c r="J6" i="3" s="1"/>
  <c r="K6" i="3" s="1"/>
  <c r="J5" i="2"/>
  <c r="D15" i="14"/>
  <c r="E15" i="14" s="1"/>
  <c r="D14" i="14"/>
  <c r="E14" i="14" s="1"/>
  <c r="D13" i="14"/>
  <c r="E13" i="14" s="1"/>
  <c r="B13" i="14"/>
  <c r="J4" i="3" s="1"/>
  <c r="K4" i="3" s="1"/>
  <c r="J4" i="9" l="1"/>
  <c r="K4" i="9" s="1"/>
  <c r="E7" i="17" s="1"/>
  <c r="P7" i="17" s="1"/>
  <c r="J4" i="15"/>
  <c r="K4" i="15" s="1"/>
  <c r="F7" i="17" s="1"/>
  <c r="Q7" i="17" s="1"/>
  <c r="J4" i="5"/>
  <c r="K4" i="5" s="1"/>
  <c r="D7" i="17" s="1"/>
  <c r="O7" i="17" s="1"/>
  <c r="C7" i="17"/>
  <c r="N7" i="17" s="1"/>
  <c r="J6" i="5"/>
  <c r="K6" i="5" s="1"/>
  <c r="D9" i="17" s="1"/>
  <c r="O9" i="17" s="1"/>
  <c r="J6" i="9"/>
  <c r="K6" i="9" s="1"/>
  <c r="E9" i="17" s="1"/>
  <c r="P9" i="17" s="1"/>
  <c r="J6" i="15"/>
  <c r="K6" i="15" s="1"/>
  <c r="F9" i="17" s="1"/>
  <c r="Q9" i="17" s="1"/>
  <c r="C9" i="17"/>
  <c r="N9" i="17" s="1"/>
  <c r="K5" i="2"/>
  <c r="B8" i="17" s="1"/>
  <c r="C13" i="14"/>
  <c r="J4" i="2"/>
  <c r="J6" i="2"/>
  <c r="C15" i="14"/>
  <c r="C14" i="14"/>
  <c r="M8" i="17" l="1"/>
  <c r="R8" i="17" s="1"/>
  <c r="G8" i="17"/>
  <c r="H8" i="17"/>
  <c r="K4" i="2"/>
  <c r="B7" i="17" s="1"/>
  <c r="K6" i="2"/>
  <c r="B9" i="17" s="1"/>
  <c r="G9" i="17" s="1"/>
  <c r="M7" i="17" l="1"/>
  <c r="R7" i="17" s="1"/>
  <c r="G7" i="17"/>
  <c r="H7" i="17"/>
  <c r="M9" i="17"/>
  <c r="R9" i="17" s="1"/>
  <c r="H9" i="17"/>
  <c r="S7" i="17" l="1"/>
  <c r="I7" i="17"/>
  <c r="S8" i="17"/>
  <c r="I8" i="17"/>
  <c r="I9" i="17"/>
  <c r="S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author>
    <author>Jamil, Hasan R</author>
  </authors>
  <commentList>
    <comment ref="F2" authorId="0" shapeId="0" xr:uid="{67EC9E23-82BE-4E98-BB4C-DE4C4942A08A}">
      <text>
        <r>
          <rPr>
            <b/>
            <sz val="9"/>
            <color indexed="81"/>
            <rFont val="Tahoma"/>
            <family val="2"/>
          </rPr>
          <t>NOTE:</t>
        </r>
        <r>
          <rPr>
            <sz val="9"/>
            <color indexed="81"/>
            <rFont val="Tahoma"/>
            <charset val="1"/>
          </rPr>
          <t xml:space="preserve">  Purchasing is basing the monthly Staffing Amt given by facilities on 20 months stated in the RFP from Sept 2025 through April 2027</t>
        </r>
      </text>
    </comment>
    <comment ref="H2" authorId="1" shapeId="0" xr:uid="{00000000-0006-0000-0700-000001000000}">
      <text>
        <r>
          <rPr>
            <b/>
            <sz val="9"/>
            <color indexed="81"/>
            <rFont val="Tahoma"/>
            <family val="2"/>
          </rPr>
          <t xml:space="preserve">Fromula
Fee on CCL + Pre-Construction Phase Fee + Staff Amt 24 Months Term + Bonds and Insurance Amt
</t>
        </r>
      </text>
    </comment>
    <comment ref="J2" authorId="1"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1"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3E68212-DDC0-43C2-B1EE-9634F71BEFFA}">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27EC02E0-A1CE-4B17-8445-49400B7CFD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<sst xmlns="http://schemas.openxmlformats.org/spreadsheetml/2006/main" count="154" uniqueCount="87">
  <si>
    <t xml:space="preserve">RESPONDENT SUMMARY </t>
  </si>
  <si>
    <t>Evaluator 1</t>
  </si>
  <si>
    <t>Evaluator 2</t>
  </si>
  <si>
    <t>Evaluator 3</t>
  </si>
  <si>
    <t>Evaluator 4</t>
  </si>
  <si>
    <t>Evaluator 5</t>
  </si>
  <si>
    <t>Criteria 1</t>
  </si>
  <si>
    <t>Criteria 2</t>
  </si>
  <si>
    <t>Criteria 3</t>
  </si>
  <si>
    <t>Criteria 4</t>
  </si>
  <si>
    <t>Criteria 5</t>
  </si>
  <si>
    <t>EVALUATION SUMMARY</t>
  </si>
  <si>
    <t>Rank</t>
  </si>
  <si>
    <t>Score</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</si>
  <si>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</si>
  <si>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</si>
  <si>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</si>
  <si>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</si>
  <si>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</si>
  <si>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</si>
  <si>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</si>
  <si>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</si>
  <si>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</si>
  <si>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</si>
  <si>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</si>
  <si>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</si>
  <si>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</si>
  <si>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</si>
  <si>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</si>
  <si>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</si>
  <si>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</si>
  <si>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</si>
  <si>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</si>
  <si>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 xml:space="preserve">Technical </t>
  </si>
  <si>
    <t>HUB</t>
  </si>
  <si>
    <t>Final Score (Tech+HUB)</t>
  </si>
  <si>
    <t>Total Weighted Technical  Score (Average)</t>
  </si>
  <si>
    <t>Total Weighted Technical  Score</t>
  </si>
  <si>
    <t>Rank of  Weighted Technical  Score</t>
  </si>
  <si>
    <t>Weighted HUB Score</t>
  </si>
  <si>
    <t>Total Weighted Score</t>
  </si>
  <si>
    <t>Rank of Tech + HUB</t>
  </si>
  <si>
    <t>Staff Amt Total</t>
  </si>
  <si>
    <t>Project Executive</t>
  </si>
  <si>
    <t>Project Manager</t>
  </si>
  <si>
    <t>Superintendent</t>
  </si>
  <si>
    <t>Asst Superintendent</t>
  </si>
  <si>
    <t>Project Engineer</t>
  </si>
  <si>
    <t>Project Scheduler</t>
  </si>
  <si>
    <t>Quality Control</t>
  </si>
  <si>
    <t>Safety</t>
  </si>
  <si>
    <t>Project Administrator</t>
  </si>
  <si>
    <t>Personnel Number</t>
  </si>
  <si>
    <t>Loaded Salary Rate Submitted</t>
  </si>
  <si>
    <t>Total Salary Rate</t>
  </si>
  <si>
    <t>Austin</t>
  </si>
  <si>
    <t>Harvey Cleary</t>
  </si>
  <si>
    <t>Whiting Turner</t>
  </si>
  <si>
    <t>Criteria 6 (HUB)</t>
  </si>
  <si>
    <t>Criteria 7 (Cost)</t>
  </si>
  <si>
    <t>RFP730-24068 CMAR NEW DINING COMMONS AT THE UNIVERSITY OF HOUSTON MAIN CAMPUS</t>
  </si>
  <si>
    <t>University of Houston Evaluation Matrix $1 Million+</t>
  </si>
  <si>
    <t>RFP730-24068 CMAR UH New Dining Commons at UH Step 2</t>
  </si>
  <si>
    <t>Name</t>
  </si>
  <si>
    <t>Evaluation Due Date</t>
  </si>
  <si>
    <t>September XX, 2024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</si>
  <si>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</si>
  <si>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</si>
  <si>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</si>
  <si>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</si>
  <si>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</si>
  <si>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</si>
  <si>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</si>
  <si>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</si>
  <si>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</si>
  <si>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</si>
  <si>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</si>
  <si>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Respondent’s Relevant Experience and Capabilities (Section 4.3)</t>
  </si>
  <si>
    <t>Qualifications of Respondent’s Project Team (Section 4.4)</t>
  </si>
  <si>
    <t>Respondent’s Ability to Estimate and Control Costs (Section 4.5)</t>
  </si>
  <si>
    <t>Respondent’s Ability to Meet the Schedule for this Project (Section 4.6)</t>
  </si>
  <si>
    <t>Respondent’s Ability to Manage this Project (Section 4.7)</t>
  </si>
  <si>
    <t>Respondent’s Past HUB/MBE/WBE Goal Attainment and Quality of Procedures for UHS HUB Goal Attainment on this Project (Section 4.8)
ONLY HUB WILL SCORE - EVERYONE ELSE LEAVE BLANK</t>
  </si>
  <si>
    <t>Respondent’s Cost and Delivery Proposal (Section 4.9)
PURCHASING WILL SCORE - EVERYONE ELSE LEAVE BLANK</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</si>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</sst>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quot;$&quot;* #,##0_);_(&quot;$&quot;* \(#,##0\);_(&quot;$&quot;* &quot;-&quot;??_);_(@_)"/>
    <numFmt numFmtId="167" formatCode="[$-F800]dddd\,\ mmmm\ dd\,\ yyyy"/>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11"/>
      <color rgb="FFFF0000"/>
      <name val="Arial"/>
      <family val="2"/>
    </font>
    <font>
      <strike/>
      <sz val="12"/>
      <color rgb="FFFF0000"/>
      <name val="Arial"/>
      <family val="2"/>
    </font>
    <font>
      <sz val="8"/>
      <name val="Arial"/>
    </font>
    <font>
      <sz val="9"/>
      <color indexed="81"/>
      <name val="Tahoma"/>
      <charset val="1"/>
    </font>
    <font>
      <sz val="10"/>
      <name val="Arial"/>
    </font>
    <font>
      <sz val="10"/>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9"/>
      <name val="Arial"/>
      <family val="2"/>
    </font>
    <font>
      <b/>
      <sz val="10"/>
      <color rgb="FF000000"/>
      <name val="Arial"/>
      <family val="2"/>
    </font>
    <font>
      <strike/>
      <sz val="10"/>
      <name val="Arial"/>
      <family val="2"/>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6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auto="1"/>
      </left>
      <right style="medium">
        <color indexed="64"/>
      </right>
      <top style="medium">
        <color indexed="64"/>
      </top>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auto="1"/>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5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9" fillId="0" borderId="0" applyFont="0" applyFill="0" applyBorder="0" applyAlignment="0" applyProtection="0"/>
    <xf numFmtId="0" fontId="4" fillId="0" borderId="0"/>
    <xf numFmtId="0" fontId="3" fillId="0" borderId="0"/>
    <xf numFmtId="44" fontId="61" fillId="0" borderId="0" applyFont="0" applyFill="0" applyBorder="0" applyAlignment="0" applyProtection="0"/>
    <xf numFmtId="0" fontId="2" fillId="0" borderId="0"/>
    <xf numFmtId="0" fontId="38" fillId="0" borderId="47" applyNumberFormat="0" applyFill="0" applyAlignment="0" applyProtection="0"/>
    <xf numFmtId="0" fontId="36" fillId="21" borderId="46" applyNumberFormat="0" applyAlignment="0" applyProtection="0"/>
    <xf numFmtId="0" fontId="33" fillId="8" borderId="44" applyNumberFormat="0" applyAlignment="0" applyProtection="0"/>
    <xf numFmtId="0" fontId="26" fillId="21" borderId="44" applyNumberFormat="0" applyAlignment="0" applyProtection="0"/>
    <xf numFmtId="0" fontId="26" fillId="21" borderId="52" applyNumberFormat="0" applyAlignment="0" applyProtection="0"/>
    <xf numFmtId="0" fontId="38" fillId="0" borderId="55" applyNumberFormat="0" applyFill="0" applyAlignment="0" applyProtection="0"/>
    <xf numFmtId="0" fontId="21" fillId="2" borderId="53" applyNumberFormat="0" applyFont="0" applyAlignment="0" applyProtection="0"/>
    <xf numFmtId="0" fontId="21" fillId="2" borderId="45" applyNumberFormat="0" applyFont="0" applyAlignment="0" applyProtection="0"/>
    <xf numFmtId="0" fontId="26" fillId="21" borderId="48" applyNumberFormat="0" applyAlignment="0" applyProtection="0"/>
    <xf numFmtId="0" fontId="33" fillId="8" borderId="52" applyNumberFormat="0" applyAlignment="0" applyProtection="0"/>
    <xf numFmtId="0" fontId="38" fillId="0" borderId="51" applyNumberFormat="0" applyFill="0" applyAlignment="0" applyProtection="0"/>
    <xf numFmtId="0" fontId="2" fillId="0" borderId="0"/>
    <xf numFmtId="0" fontId="21" fillId="2" borderId="45" applyNumberFormat="0" applyFont="0" applyAlignment="0" applyProtection="0"/>
    <xf numFmtId="0" fontId="38" fillId="0" borderId="55" applyNumberFormat="0" applyFill="0" applyAlignment="0" applyProtection="0"/>
    <xf numFmtId="0" fontId="21" fillId="2" borderId="53" applyNumberFormat="0" applyFont="0" applyAlignment="0" applyProtection="0"/>
    <xf numFmtId="0" fontId="21" fillId="2" borderId="49" applyNumberFormat="0" applyFont="0" applyAlignment="0" applyProtection="0"/>
    <xf numFmtId="0" fontId="21" fillId="2" borderId="53" applyNumberFormat="0" applyFont="0" applyAlignment="0" applyProtection="0"/>
    <xf numFmtId="0" fontId="26" fillId="21" borderId="48" applyNumberFormat="0" applyAlignment="0" applyProtection="0"/>
    <xf numFmtId="0" fontId="33" fillId="8" borderId="48" applyNumberFormat="0" applyAlignment="0" applyProtection="0"/>
    <xf numFmtId="0" fontId="38" fillId="0" borderId="47" applyNumberFormat="0" applyFill="0" applyAlignment="0" applyProtection="0"/>
    <xf numFmtId="0" fontId="36" fillId="21" borderId="46" applyNumberFormat="0" applyAlignment="0" applyProtection="0"/>
    <xf numFmtId="0" fontId="33" fillId="8" borderId="44" applyNumberFormat="0" applyAlignment="0" applyProtection="0"/>
    <xf numFmtId="0" fontId="33" fillId="8" borderId="52" applyNumberFormat="0" applyAlignment="0" applyProtection="0"/>
    <xf numFmtId="0" fontId="26" fillId="21" borderId="44" applyNumberFormat="0" applyAlignment="0" applyProtection="0"/>
    <xf numFmtId="0" fontId="33" fillId="8" borderId="48" applyNumberFormat="0" applyAlignment="0" applyProtection="0"/>
    <xf numFmtId="0" fontId="36" fillId="21" borderId="50" applyNumberFormat="0" applyAlignment="0" applyProtection="0"/>
    <xf numFmtId="9" fontId="2" fillId="0" borderId="0" applyFont="0" applyFill="0" applyBorder="0" applyAlignment="0" applyProtection="0"/>
    <xf numFmtId="0" fontId="21" fillId="2" borderId="45" applyNumberFormat="0" applyFont="0" applyAlignment="0" applyProtection="0"/>
    <xf numFmtId="0" fontId="36" fillId="21" borderId="54" applyNumberFormat="0" applyAlignment="0" applyProtection="0"/>
    <xf numFmtId="0" fontId="21" fillId="2" borderId="49" applyNumberFormat="0" applyFont="0" applyAlignment="0" applyProtection="0"/>
    <xf numFmtId="0" fontId="36" fillId="21" borderId="50" applyNumberFormat="0" applyAlignment="0" applyProtection="0"/>
    <xf numFmtId="0" fontId="38" fillId="0" borderId="51" applyNumberFormat="0" applyFill="0" applyAlignment="0" applyProtection="0"/>
    <xf numFmtId="0" fontId="21" fillId="2" borderId="49" applyNumberFormat="0" applyFont="0" applyAlignment="0" applyProtection="0"/>
    <xf numFmtId="0" fontId="26" fillId="21" borderId="52" applyNumberFormat="0" applyAlignment="0" applyProtection="0"/>
    <xf numFmtId="0" fontId="36" fillId="21" borderId="54" applyNumberFormat="0" applyAlignment="0" applyProtection="0"/>
    <xf numFmtId="0" fontId="1" fillId="0" borderId="0"/>
    <xf numFmtId="0" fontId="64" fillId="0" borderId="0" applyNumberFormat="0" applyFill="0" applyBorder="0" applyAlignment="0" applyProtection="0"/>
  </cellStyleXfs>
  <cellXfs count="200">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left"/>
    </xf>
    <xf numFmtId="0" fontId="21" fillId="0" borderId="0" xfId="98"/>
    <xf numFmtId="0" fontId="45" fillId="0" borderId="10" xfId="100" applyFont="1" applyBorder="1" applyAlignment="1">
      <alignment horizontal="right"/>
    </xf>
    <xf numFmtId="0" fontId="47" fillId="0" borderId="10" xfId="100" applyFont="1" applyBorder="1" applyAlignment="1">
      <alignment horizontal="right"/>
    </xf>
    <xf numFmtId="2" fontId="21" fillId="0" borderId="0" xfId="98" applyNumberFormat="1"/>
    <xf numFmtId="0" fontId="45" fillId="0" borderId="0" xfId="0" applyFont="1" applyAlignment="1">
      <alignment horizontal="center" vertical="center" wrapText="1"/>
    </xf>
    <xf numFmtId="0" fontId="51" fillId="26" borderId="15" xfId="0" applyFont="1" applyFill="1" applyBorder="1" applyAlignment="1">
      <alignment horizontal="center" vertical="center" wrapText="1"/>
    </xf>
    <xf numFmtId="0" fontId="51" fillId="27" borderId="17" xfId="0" applyFont="1" applyFill="1" applyBorder="1" applyAlignment="1">
      <alignment horizontal="center" vertical="center" wrapText="1"/>
    </xf>
    <xf numFmtId="0" fontId="0" fillId="27" borderId="18" xfId="0" applyFill="1" applyBorder="1"/>
    <xf numFmtId="0" fontId="52" fillId="0" borderId="13" xfId="0" applyFont="1" applyBorder="1" applyAlignment="1">
      <alignment horizontal="center" vertical="center" wrapText="1"/>
    </xf>
    <xf numFmtId="0" fontId="45" fillId="0" borderId="16" xfId="0" applyFont="1" applyBorder="1" applyAlignment="1">
      <alignment horizontal="center" vertical="center" wrapText="1"/>
    </xf>
    <xf numFmtId="0" fontId="45" fillId="26" borderId="15" xfId="0" applyFont="1" applyFill="1" applyBorder="1" applyAlignment="1">
      <alignment horizontal="center" vertical="center" wrapText="1"/>
    </xf>
    <xf numFmtId="0" fontId="45" fillId="27" borderId="16" xfId="0" applyFont="1" applyFill="1" applyBorder="1" applyAlignment="1">
      <alignment horizontal="center" vertical="center" wrapText="1"/>
    </xf>
    <xf numFmtId="0" fontId="45" fillId="27" borderId="20" xfId="0" applyFont="1" applyFill="1" applyBorder="1" applyAlignment="1">
      <alignment horizontal="center" vertical="center" wrapText="1"/>
    </xf>
    <xf numFmtId="0" fontId="45" fillId="27" borderId="21" xfId="0" applyFont="1" applyFill="1" applyBorder="1" applyAlignment="1">
      <alignment horizontal="center" vertical="center" wrapText="1"/>
    </xf>
    <xf numFmtId="0" fontId="50" fillId="27" borderId="22" xfId="0" applyFont="1" applyFill="1" applyBorder="1" applyAlignment="1">
      <alignment vertical="center" wrapText="1"/>
    </xf>
    <xf numFmtId="0" fontId="53" fillId="0" borderId="23" xfId="0" applyFont="1" applyBorder="1" applyAlignment="1">
      <alignment horizontal="center" vertical="center" wrapText="1"/>
    </xf>
    <xf numFmtId="0" fontId="50" fillId="28" borderId="23" xfId="0" applyFont="1" applyFill="1" applyBorder="1" applyAlignment="1">
      <alignment horizontal="center" vertical="center" wrapText="1"/>
    </xf>
    <xf numFmtId="0" fontId="21" fillId="0" borderId="24" xfId="2" applyBorder="1"/>
    <xf numFmtId="44" fontId="21" fillId="0" borderId="25" xfId="108" applyFont="1" applyFill="1" applyBorder="1" applyAlignment="1"/>
    <xf numFmtId="164" fontId="0" fillId="24" borderId="25" xfId="0" applyNumberFormat="1" applyFill="1" applyBorder="1" applyAlignment="1">
      <alignment vertical="center"/>
    </xf>
    <xf numFmtId="10" fontId="0" fillId="24" borderId="25" xfId="0" applyNumberFormat="1" applyFill="1" applyBorder="1" applyAlignment="1">
      <alignment horizontal="center" vertical="center"/>
    </xf>
    <xf numFmtId="164" fontId="52" fillId="24" borderId="25" xfId="0" applyNumberFormat="1" applyFont="1" applyFill="1" applyBorder="1" applyAlignment="1">
      <alignment vertical="center"/>
    </xf>
    <xf numFmtId="164" fontId="46" fillId="0" borderId="25" xfId="0" applyNumberFormat="1" applyFont="1" applyBorder="1" applyAlignment="1">
      <alignment vertical="center"/>
    </xf>
    <xf numFmtId="165" fontId="0" fillId="0" borderId="25" xfId="0" applyNumberFormat="1" applyBorder="1"/>
    <xf numFmtId="165" fontId="0" fillId="0" borderId="0" xfId="0" applyNumberFormat="1"/>
    <xf numFmtId="164" fontId="0" fillId="24" borderId="24" xfId="0" applyNumberFormat="1" applyFill="1" applyBorder="1" applyAlignment="1">
      <alignment vertical="center"/>
    </xf>
    <xf numFmtId="10" fontId="0" fillId="24" borderId="24" xfId="0" applyNumberFormat="1" applyFill="1" applyBorder="1" applyAlignment="1">
      <alignment horizontal="center" vertical="center"/>
    </xf>
    <xf numFmtId="164" fontId="52" fillId="24" borderId="24" xfId="0" applyNumberFormat="1" applyFont="1" applyFill="1" applyBorder="1" applyAlignment="1">
      <alignment vertical="center"/>
    </xf>
    <xf numFmtId="165" fontId="0" fillId="0" borderId="24" xfId="0" applyNumberFormat="1" applyBorder="1"/>
    <xf numFmtId="0" fontId="0" fillId="0" borderId="0" xfId="0" applyAlignment="1">
      <alignment vertical="center"/>
    </xf>
    <xf numFmtId="164" fontId="0" fillId="0" borderId="0" xfId="0" applyNumberFormat="1" applyAlignment="1">
      <alignment vertical="center"/>
    </xf>
    <xf numFmtId="0" fontId="45" fillId="0" borderId="0" xfId="0" applyFont="1" applyAlignment="1">
      <alignment horizontal="right" vertical="center"/>
    </xf>
    <xf numFmtId="164" fontId="45" fillId="0" borderId="0" xfId="0" applyNumberFormat="1" applyFont="1" applyAlignment="1">
      <alignment horizontal="right" vertical="center"/>
    </xf>
    <xf numFmtId="164" fontId="54" fillId="0" borderId="15" xfId="0" applyNumberFormat="1" applyFont="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5" fillId="0" borderId="0" xfId="0" applyFont="1" applyAlignment="1">
      <alignment horizontal="center" vertical="center"/>
    </xf>
    <xf numFmtId="0" fontId="21" fillId="0" borderId="15" xfId="0" applyFont="1" applyBorder="1" applyAlignment="1">
      <alignment vertical="center"/>
    </xf>
    <xf numFmtId="0" fontId="47" fillId="0" borderId="15" xfId="0" applyFont="1" applyBorder="1" applyAlignment="1">
      <alignment horizontal="center" vertical="center"/>
    </xf>
    <xf numFmtId="0" fontId="45" fillId="0" borderId="15"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xf numFmtId="0" fontId="45" fillId="0" borderId="0" xfId="0" applyFont="1"/>
    <xf numFmtId="0" fontId="21" fillId="0" borderId="26" xfId="2" applyBorder="1"/>
    <xf numFmtId="2" fontId="47" fillId="0" borderId="25" xfId="0" applyNumberFormat="1" applyFont="1" applyBorder="1" applyAlignment="1">
      <alignment horizontal="center" vertical="center"/>
    </xf>
    <xf numFmtId="1" fontId="45" fillId="0" borderId="25" xfId="0" applyNumberFormat="1" applyFont="1" applyBorder="1" applyAlignment="1">
      <alignment horizontal="center" vertical="center"/>
    </xf>
    <xf numFmtId="44" fontId="0" fillId="0" borderId="25" xfId="0" applyNumberFormat="1" applyBorder="1" applyAlignment="1">
      <alignment horizontal="center" vertical="center"/>
    </xf>
    <xf numFmtId="10" fontId="50" fillId="0" borderId="27" xfId="0" applyNumberFormat="1" applyFont="1" applyBorder="1" applyAlignment="1">
      <alignment horizontal="center" vertical="center"/>
    </xf>
    <xf numFmtId="10" fontId="50" fillId="0" borderId="0" xfId="0" applyNumberFormat="1" applyFont="1" applyAlignment="1">
      <alignment horizontal="center" vertical="center"/>
    </xf>
    <xf numFmtId="2" fontId="0" fillId="0" borderId="0" xfId="0" applyNumberFormat="1" applyAlignment="1">
      <alignment horizontal="center" vertical="center"/>
    </xf>
    <xf numFmtId="2" fontId="47" fillId="0" borderId="24" xfId="0" applyNumberFormat="1" applyFont="1" applyBorder="1" applyAlignment="1">
      <alignment horizontal="center" vertical="center"/>
    </xf>
    <xf numFmtId="2" fontId="21" fillId="0" borderId="0" xfId="0" applyNumberFormat="1" applyFont="1" applyAlignment="1">
      <alignment horizontal="center" vertical="center"/>
    </xf>
    <xf numFmtId="0" fontId="50" fillId="0" borderId="0" xfId="109" applyFont="1" applyAlignment="1">
      <alignment vertical="top" wrapText="1"/>
    </xf>
    <xf numFmtId="0" fontId="4" fillId="0" borderId="0" xfId="109" applyAlignment="1">
      <alignment horizontal="left" vertical="top" wrapText="1"/>
    </xf>
    <xf numFmtId="2" fontId="46" fillId="0" borderId="0" xfId="0" applyNumberFormat="1" applyFont="1"/>
    <xf numFmtId="0" fontId="0" fillId="24" borderId="0" xfId="0" applyFill="1"/>
    <xf numFmtId="164" fontId="45" fillId="24" borderId="0" xfId="0" applyNumberFormat="1" applyFont="1" applyFill="1" applyAlignment="1">
      <alignment vertical="center"/>
    </xf>
    <xf numFmtId="0" fontId="41" fillId="25" borderId="0" xfId="0" applyFont="1" applyFill="1" applyAlignment="1">
      <alignment horizontal="left"/>
    </xf>
    <xf numFmtId="0" fontId="19" fillId="25" borderId="28" xfId="0" applyFont="1" applyFill="1" applyBorder="1" applyAlignment="1">
      <alignment horizontal="left"/>
    </xf>
    <xf numFmtId="0" fontId="19" fillId="25" borderId="28" xfId="0" applyFont="1" applyFill="1" applyBorder="1"/>
    <xf numFmtId="0" fontId="41" fillId="25" borderId="14" xfId="0" applyFont="1" applyFill="1" applyBorder="1" applyAlignment="1">
      <alignment horizontal="right" textRotation="90" wrapText="1"/>
    </xf>
    <xf numFmtId="0" fontId="41" fillId="25" borderId="13" xfId="0" applyFont="1" applyFill="1" applyBorder="1" applyAlignment="1">
      <alignment horizontal="right" textRotation="90" wrapText="1"/>
    </xf>
    <xf numFmtId="0" fontId="57" fillId="25" borderId="29" xfId="0" applyFont="1" applyFill="1" applyBorder="1" applyAlignment="1">
      <alignment horizontal="right" textRotation="90" wrapText="1"/>
    </xf>
    <xf numFmtId="0" fontId="57" fillId="25" borderId="30" xfId="0" applyFont="1" applyFill="1" applyBorder="1" applyAlignment="1">
      <alignment horizontal="right" textRotation="90" wrapText="1"/>
    </xf>
    <xf numFmtId="0" fontId="41" fillId="25" borderId="31" xfId="0" applyFont="1" applyFill="1" applyBorder="1" applyAlignment="1">
      <alignment horizontal="right" textRotation="90" wrapText="1"/>
    </xf>
    <xf numFmtId="0" fontId="41" fillId="25" borderId="0" xfId="0" applyFont="1" applyFill="1" applyAlignment="1">
      <alignment horizontal="right" textRotation="90" wrapText="1"/>
    </xf>
    <xf numFmtId="0" fontId="57" fillId="25" borderId="31" xfId="0" applyFont="1" applyFill="1" applyBorder="1" applyAlignment="1">
      <alignment horizontal="right" textRotation="90" wrapText="1"/>
    </xf>
    <xf numFmtId="0" fontId="41" fillId="29" borderId="31" xfId="0" applyFont="1" applyFill="1" applyBorder="1" applyAlignment="1">
      <alignment horizontal="right" textRotation="90" wrapText="1"/>
    </xf>
    <xf numFmtId="0" fontId="41" fillId="0" borderId="0" xfId="0" applyFont="1" applyAlignment="1">
      <alignment horizontal="right" textRotation="90" wrapText="1"/>
    </xf>
    <xf numFmtId="4" fontId="40" fillId="25" borderId="34" xfId="0" applyNumberFormat="1" applyFont="1" applyFill="1" applyBorder="1" applyAlignment="1">
      <alignment horizontal="right"/>
    </xf>
    <xf numFmtId="0" fontId="20" fillId="29" borderId="34" xfId="0" applyFont="1" applyFill="1" applyBorder="1" applyAlignment="1">
      <alignment horizontal="right"/>
    </xf>
    <xf numFmtId="0" fontId="58" fillId="25" borderId="0" xfId="0" applyFont="1" applyFill="1"/>
    <xf numFmtId="0" fontId="40" fillId="25" borderId="0" xfId="0" applyFont="1" applyFill="1"/>
    <xf numFmtId="164" fontId="0" fillId="0" borderId="25" xfId="0" applyNumberFormat="1" applyBorder="1" applyAlignment="1">
      <alignment vertical="center"/>
    </xf>
    <xf numFmtId="0" fontId="41" fillId="0" borderId="0" xfId="2" applyFont="1" applyAlignment="1">
      <alignment horizontal="left"/>
    </xf>
    <xf numFmtId="0" fontId="19" fillId="0" borderId="0" xfId="2" applyFont="1" applyAlignment="1">
      <alignment horizontal="left"/>
    </xf>
    <xf numFmtId="0" fontId="19" fillId="0" borderId="0" xfId="2" applyFont="1"/>
    <xf numFmtId="0" fontId="21" fillId="0" borderId="0" xfId="2"/>
    <xf numFmtId="4" fontId="40" fillId="25" borderId="22" xfId="0" applyNumberFormat="1" applyFont="1" applyFill="1" applyBorder="1" applyAlignment="1">
      <alignment horizontal="right"/>
    </xf>
    <xf numFmtId="0" fontId="20" fillId="29" borderId="22" xfId="0" applyFont="1" applyFill="1" applyBorder="1" applyAlignment="1">
      <alignment horizontal="right"/>
    </xf>
    <xf numFmtId="166" fontId="0" fillId="0" borderId="37" xfId="111" applyNumberFormat="1" applyFont="1" applyBorder="1"/>
    <xf numFmtId="166" fontId="0" fillId="0" borderId="10" xfId="111" applyNumberFormat="1" applyFont="1" applyBorder="1"/>
    <xf numFmtId="0" fontId="45" fillId="0" borderId="38" xfId="0" applyFont="1" applyBorder="1" applyAlignment="1">
      <alignment horizontal="centerContinuous"/>
    </xf>
    <xf numFmtId="0" fontId="45" fillId="0" borderId="39" xfId="0" applyFont="1" applyBorder="1" applyAlignment="1">
      <alignment horizontal="centerContinuous"/>
    </xf>
    <xf numFmtId="0" fontId="45" fillId="0" borderId="40" xfId="0" applyFont="1" applyBorder="1" applyAlignment="1">
      <alignment horizontal="centerContinuous"/>
    </xf>
    <xf numFmtId="166" fontId="0" fillId="0" borderId="43" xfId="111" applyNumberFormat="1" applyFont="1" applyBorder="1"/>
    <xf numFmtId="0" fontId="0" fillId="0" borderId="39" xfId="0" applyBorder="1" applyAlignment="1">
      <alignment horizontal="centerContinuous"/>
    </xf>
    <xf numFmtId="0" fontId="0" fillId="0" borderId="40" xfId="0" applyBorder="1" applyAlignment="1">
      <alignment horizontal="centerContinuous"/>
    </xf>
    <xf numFmtId="0" fontId="45" fillId="0" borderId="41" xfId="0" applyFont="1" applyBorder="1" applyAlignment="1">
      <alignment horizontal="right"/>
    </xf>
    <xf numFmtId="0" fontId="45" fillId="0" borderId="0" xfId="0" applyFont="1" applyAlignment="1">
      <alignment horizontal="right"/>
    </xf>
    <xf numFmtId="0" fontId="45" fillId="0" borderId="42" xfId="0" applyFont="1" applyBorder="1" applyAlignment="1">
      <alignment horizontal="right"/>
    </xf>
    <xf numFmtId="164" fontId="0" fillId="0" borderId="24" xfId="0" applyNumberFormat="1" applyBorder="1" applyAlignment="1">
      <alignment vertical="center"/>
    </xf>
    <xf numFmtId="2" fontId="20" fillId="25" borderId="12" xfId="0" applyNumberFormat="1" applyFont="1" applyFill="1" applyBorder="1"/>
    <xf numFmtId="2" fontId="20" fillId="25" borderId="11" xfId="0" applyNumberFormat="1" applyFont="1" applyFill="1" applyBorder="1"/>
    <xf numFmtId="2" fontId="40" fillId="25" borderId="32" xfId="0" applyNumberFormat="1" applyFont="1" applyFill="1" applyBorder="1"/>
    <xf numFmtId="4" fontId="40" fillId="25" borderId="33" xfId="0" applyNumberFormat="1" applyFont="1" applyFill="1" applyBorder="1" applyAlignment="1">
      <alignment horizontal="right"/>
    </xf>
    <xf numFmtId="0" fontId="20" fillId="25" borderId="34" xfId="0" applyFont="1" applyFill="1" applyBorder="1" applyAlignment="1">
      <alignment horizontal="right"/>
    </xf>
    <xf numFmtId="2" fontId="20" fillId="25" borderId="35" xfId="0" applyNumberFormat="1" applyFont="1" applyFill="1" applyBorder="1"/>
    <xf numFmtId="2" fontId="20" fillId="25" borderId="28" xfId="0" applyNumberFormat="1" applyFont="1" applyFill="1" applyBorder="1"/>
    <xf numFmtId="2" fontId="40" fillId="25" borderId="36" xfId="0" applyNumberFormat="1" applyFont="1" applyFill="1" applyBorder="1"/>
    <xf numFmtId="4" fontId="40" fillId="25" borderId="21" xfId="0" applyNumberFormat="1" applyFont="1" applyFill="1" applyBorder="1" applyAlignment="1">
      <alignment horizontal="right"/>
    </xf>
    <xf numFmtId="0" fontId="20" fillId="25" borderId="22" xfId="0" applyFont="1" applyFill="1" applyBorder="1" applyAlignment="1">
      <alignment horizontal="right"/>
    </xf>
    <xf numFmtId="2" fontId="20" fillId="25" borderId="34" xfId="0" applyNumberFormat="1" applyFont="1" applyFill="1" applyBorder="1" applyAlignment="1">
      <alignment horizontal="right"/>
    </xf>
    <xf numFmtId="0" fontId="62" fillId="0" borderId="15" xfId="0" applyFont="1" applyBorder="1" applyAlignment="1">
      <alignment horizontal="left"/>
    </xf>
    <xf numFmtId="0" fontId="0" fillId="24" borderId="15" xfId="0" applyFill="1" applyBorder="1"/>
    <xf numFmtId="166" fontId="0" fillId="24" borderId="15" xfId="111" applyNumberFormat="1" applyFont="1" applyFill="1" applyBorder="1"/>
    <xf numFmtId="166" fontId="0" fillId="0" borderId="15" xfId="111" applyNumberFormat="1" applyFont="1" applyBorder="1"/>
    <xf numFmtId="0" fontId="20" fillId="27" borderId="11" xfId="0" applyFont="1" applyFill="1" applyBorder="1" applyAlignment="1">
      <alignment horizontal="left"/>
    </xf>
    <xf numFmtId="2" fontId="20" fillId="27" borderId="12" xfId="0" applyNumberFormat="1" applyFont="1" applyFill="1" applyBorder="1"/>
    <xf numFmtId="2" fontId="20" fillId="27" borderId="11" xfId="0" applyNumberFormat="1" applyFont="1" applyFill="1" applyBorder="1"/>
    <xf numFmtId="2" fontId="40" fillId="27" borderId="32" xfId="0" applyNumberFormat="1" applyFont="1" applyFill="1" applyBorder="1"/>
    <xf numFmtId="4" fontId="40" fillId="27" borderId="33" xfId="0" applyNumberFormat="1" applyFont="1" applyFill="1" applyBorder="1" applyAlignment="1">
      <alignment horizontal="right"/>
    </xf>
    <xf numFmtId="0" fontId="20" fillId="27" borderId="34" xfId="0" applyFont="1" applyFill="1" applyBorder="1" applyAlignment="1">
      <alignment horizontal="right"/>
    </xf>
    <xf numFmtId="0" fontId="41" fillId="27" borderId="0" xfId="0" applyFont="1" applyFill="1" applyAlignment="1">
      <alignment horizontal="right" textRotation="90" wrapText="1"/>
    </xf>
    <xf numFmtId="2" fontId="20" fillId="27" borderId="34" xfId="0" applyNumberFormat="1" applyFont="1" applyFill="1" applyBorder="1" applyAlignment="1">
      <alignment horizontal="right"/>
    </xf>
    <xf numFmtId="4" fontId="40" fillId="27" borderId="34" xfId="0" applyNumberFormat="1" applyFont="1" applyFill="1" applyBorder="1" applyAlignment="1">
      <alignment horizontal="right"/>
    </xf>
    <xf numFmtId="0" fontId="19" fillId="27" borderId="0" xfId="0" applyFont="1" applyFill="1" applyAlignment="1">
      <alignment horizontal="right" textRotation="90" wrapText="1"/>
    </xf>
    <xf numFmtId="0" fontId="20" fillId="27" borderId="0" xfId="0" applyFont="1" applyFill="1"/>
    <xf numFmtId="0" fontId="45" fillId="0" borderId="0" xfId="98" applyFont="1" applyAlignment="1">
      <alignment horizontal="left"/>
    </xf>
    <xf numFmtId="0" fontId="44" fillId="0" borderId="10" xfId="100" applyFont="1" applyBorder="1" applyAlignment="1">
      <alignment horizontal="center"/>
    </xf>
    <xf numFmtId="0" fontId="0" fillId="0" borderId="14" xfId="0" applyBorder="1" applyAlignment="1">
      <alignment horizontal="center" vertical="center"/>
    </xf>
    <xf numFmtId="0" fontId="0" fillId="0" borderId="19" xfId="0" applyBorder="1" applyAlignment="1">
      <alignment horizontal="center" vertical="center"/>
    </xf>
    <xf numFmtId="0" fontId="51" fillId="27" borderId="16" xfId="0" applyFont="1" applyFill="1" applyBorder="1" applyAlignment="1">
      <alignment horizontal="center" vertical="center" wrapText="1"/>
    </xf>
    <xf numFmtId="0" fontId="51" fillId="27" borderId="17" xfId="0" applyFont="1" applyFill="1" applyBorder="1" applyAlignment="1">
      <alignment horizontal="center" vertical="center" wrapText="1"/>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41" fillId="0" borderId="0" xfId="0" applyFont="1" applyAlignment="1">
      <alignment horizontal="left"/>
    </xf>
    <xf numFmtId="0" fontId="0" fillId="0" borderId="0" xfId="0" applyAlignment="1">
      <alignment horizontal="lef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ill="1"/>
    <xf numFmtId="0" fontId="19" fillId="0" borderId="0" xfId="98" applyFont="1" applyAlignment="1">
      <alignment horizontal="left"/>
    </xf>
    <xf numFmtId="0" fontId="20" fillId="25" borderId="0" xfId="98" applyFont="1" applyFill="1"/>
    <xf numFmtId="0" fontId="44" fillId="25" borderId="0" xfId="148" applyFont="1" applyFill="1" applyAlignment="1">
      <alignment horizontal="left"/>
    </xf>
    <xf numFmtId="0" fontId="21" fillId="24" borderId="56" xfId="148" applyFont="1" applyFill="1" applyBorder="1" applyAlignment="1">
      <alignment horizontal="center"/>
    </xf>
    <xf numFmtId="0" fontId="21" fillId="24" borderId="57" xfId="148" applyFont="1" applyFill="1" applyBorder="1" applyAlignment="1">
      <alignment horizontal="center"/>
    </xf>
    <xf numFmtId="0" fontId="21" fillId="24" borderId="58" xfId="148" applyFont="1" applyFill="1" applyBorder="1" applyAlignment="1">
      <alignment horizontal="center"/>
    </xf>
    <xf numFmtId="167" fontId="44" fillId="0" borderId="0" xfId="148" applyNumberFormat="1" applyFont="1" applyAlignment="1">
      <alignment horizontal="center"/>
    </xf>
    <xf numFmtId="0" fontId="63" fillId="25" borderId="0" xfId="148" applyFont="1" applyFill="1"/>
    <xf numFmtId="0" fontId="65" fillId="25" borderId="0" xfId="149" applyFont="1" applyFill="1" applyAlignment="1">
      <alignment horizontal="left" wrapText="1"/>
    </xf>
    <xf numFmtId="0" fontId="65" fillId="25" borderId="0" xfId="149" applyFont="1" applyFill="1" applyAlignment="1">
      <alignment wrapText="1"/>
    </xf>
    <xf numFmtId="0" fontId="21" fillId="24" borderId="24" xfId="98" applyFill="1" applyBorder="1" applyAlignment="1">
      <alignment horizontal="center" wrapText="1"/>
    </xf>
    <xf numFmtId="0" fontId="66" fillId="25" borderId="0" xfId="98" applyFont="1" applyFill="1" applyAlignment="1">
      <alignment horizontal="left" wrapText="1"/>
    </xf>
    <xf numFmtId="0" fontId="65" fillId="25" borderId="0" xfId="149" applyFont="1" applyFill="1" applyAlignment="1">
      <alignment horizontal="left"/>
    </xf>
    <xf numFmtId="0" fontId="65" fillId="25" borderId="0" xfId="149" applyFont="1" applyFill="1" applyAlignment="1"/>
    <xf numFmtId="0" fontId="65" fillId="25" borderId="0" xfId="149" applyFont="1" applyFill="1" applyAlignment="1">
      <alignment horizontal="left"/>
    </xf>
    <xf numFmtId="0" fontId="21" fillId="25" borderId="0" xfId="98" applyFill="1" applyAlignment="1">
      <alignment horizontal="center"/>
    </xf>
    <xf numFmtId="0" fontId="45" fillId="30" borderId="14" xfId="98" applyFont="1" applyFill="1" applyBorder="1" applyAlignment="1">
      <alignment horizontal="left"/>
    </xf>
    <xf numFmtId="0" fontId="45" fillId="30" borderId="13" xfId="98" applyFont="1" applyFill="1" applyBorder="1" applyAlignment="1">
      <alignment horizontal="left"/>
    </xf>
    <xf numFmtId="0" fontId="45" fillId="30" borderId="30" xfId="98" applyFont="1" applyFill="1" applyBorder="1" applyAlignment="1">
      <alignment horizontal="left"/>
    </xf>
    <xf numFmtId="0" fontId="67" fillId="25" borderId="14" xfId="98" applyFont="1" applyFill="1" applyBorder="1" applyAlignment="1">
      <alignment horizontal="left" vertical="center" wrapText="1"/>
    </xf>
    <xf numFmtId="0" fontId="67" fillId="25" borderId="13" xfId="98" applyFont="1" applyFill="1" applyBorder="1" applyAlignment="1">
      <alignment horizontal="left" vertical="center" wrapText="1"/>
    </xf>
    <xf numFmtId="0" fontId="67" fillId="25" borderId="30" xfId="98" applyFont="1" applyFill="1" applyBorder="1" applyAlignment="1">
      <alignment horizontal="left" vertical="center" wrapText="1"/>
    </xf>
    <xf numFmtId="0" fontId="68" fillId="25" borderId="14" xfId="98" applyFont="1" applyFill="1" applyBorder="1" applyAlignment="1">
      <alignment horizontal="left" vertical="center" wrapText="1"/>
    </xf>
    <xf numFmtId="0" fontId="68" fillId="25" borderId="13" xfId="98" applyFont="1" applyFill="1" applyBorder="1" applyAlignment="1">
      <alignment horizontal="left" vertical="center" wrapText="1"/>
    </xf>
    <xf numFmtId="0" fontId="68" fillId="25" borderId="30" xfId="98" applyFont="1" applyFill="1" applyBorder="1" applyAlignment="1">
      <alignment horizontal="left" vertical="center" wrapText="1"/>
    </xf>
    <xf numFmtId="0" fontId="67" fillId="25" borderId="0" xfId="98" applyFont="1" applyFill="1" applyAlignment="1">
      <alignment wrapText="1"/>
    </xf>
    <xf numFmtId="0" fontId="67" fillId="31" borderId="59" xfId="98" applyFont="1" applyFill="1" applyBorder="1" applyAlignment="1">
      <alignment horizontal="center" wrapText="1"/>
    </xf>
    <xf numFmtId="0" fontId="67" fillId="31" borderId="57" xfId="98" applyFont="1" applyFill="1" applyBorder="1" applyAlignment="1">
      <alignment horizontal="center" wrapText="1"/>
    </xf>
    <xf numFmtId="0" fontId="67" fillId="31" borderId="60" xfId="98" applyFont="1" applyFill="1" applyBorder="1" applyAlignment="1">
      <alignment horizontal="center" wrapText="1"/>
    </xf>
    <xf numFmtId="0" fontId="67" fillId="25" borderId="0" xfId="98" applyFont="1" applyFill="1" applyAlignment="1">
      <alignment horizontal="center" wrapText="1"/>
    </xf>
    <xf numFmtId="0" fontId="69" fillId="25" borderId="61" xfId="98" applyFont="1" applyFill="1" applyBorder="1" applyAlignment="1">
      <alignment wrapText="1"/>
    </xf>
    <xf numFmtId="0" fontId="21" fillId="24" borderId="12" xfId="98" applyFill="1" applyBorder="1" applyAlignment="1">
      <alignment horizontal="center"/>
    </xf>
    <xf numFmtId="0" fontId="21" fillId="24" borderId="11" xfId="98" applyFill="1" applyBorder="1" applyAlignment="1">
      <alignment horizontal="center"/>
    </xf>
    <xf numFmtId="0" fontId="21" fillId="24" borderId="33" xfId="98" applyFill="1" applyBorder="1" applyAlignment="1">
      <alignment horizontal="center"/>
    </xf>
    <xf numFmtId="0" fontId="21" fillId="30" borderId="62" xfId="98" applyFill="1" applyBorder="1" applyAlignment="1">
      <alignment horizontal="center"/>
    </xf>
    <xf numFmtId="0" fontId="21" fillId="30" borderId="63" xfId="98" applyFill="1" applyBorder="1" applyAlignment="1">
      <alignment horizontal="center"/>
    </xf>
    <xf numFmtId="0" fontId="21" fillId="30" borderId="64" xfId="98" applyFill="1" applyBorder="1" applyAlignment="1">
      <alignment horizontal="center"/>
    </xf>
    <xf numFmtId="0" fontId="21" fillId="24" borderId="65" xfId="98" applyFill="1" applyBorder="1" applyAlignment="1">
      <alignment horizontal="center"/>
    </xf>
    <xf numFmtId="0" fontId="21" fillId="24" borderId="61" xfId="98" applyFill="1" applyBorder="1" applyAlignment="1">
      <alignment horizontal="center"/>
    </xf>
    <xf numFmtId="0" fontId="21" fillId="24" borderId="66" xfId="98" applyFill="1" applyBorder="1" applyAlignment="1">
      <alignment horizontal="center"/>
    </xf>
    <xf numFmtId="0" fontId="21" fillId="30" borderId="65" xfId="98" applyFill="1" applyBorder="1" applyAlignment="1">
      <alignment horizontal="center"/>
    </xf>
    <xf numFmtId="0" fontId="21" fillId="30" borderId="61" xfId="98" applyFill="1" applyBorder="1" applyAlignment="1">
      <alignment horizontal="center"/>
    </xf>
    <xf numFmtId="0" fontId="21" fillId="30" borderId="66" xfId="98" applyFill="1" applyBorder="1" applyAlignment="1">
      <alignment horizontal="center"/>
    </xf>
    <xf numFmtId="0" fontId="21" fillId="32" borderId="0" xfId="98" applyFill="1"/>
    <xf numFmtId="0" fontId="21" fillId="32" borderId="39" xfId="98" applyFill="1" applyBorder="1"/>
    <xf numFmtId="0" fontId="21" fillId="25" borderId="10" xfId="98" applyFill="1" applyBorder="1"/>
    <xf numFmtId="0" fontId="47" fillId="25" borderId="0" xfId="98" applyFont="1" applyFill="1"/>
    <xf numFmtId="0" fontId="21" fillId="25" borderId="0" xfId="98" applyFill="1" applyAlignment="1">
      <alignment wrapText="1"/>
    </xf>
    <xf numFmtId="0" fontId="70" fillId="0" borderId="0" xfId="148" applyFont="1" applyAlignment="1">
      <alignment horizontal="left"/>
    </xf>
    <xf numFmtId="0" fontId="66" fillId="25" borderId="0" xfId="98" applyFont="1" applyFill="1"/>
    <xf numFmtId="0" fontId="64" fillId="25" borderId="0" xfId="149" applyFill="1"/>
    <xf numFmtId="0" fontId="71" fillId="25" borderId="0" xfId="98" applyFont="1" applyFill="1" applyAlignment="1">
      <alignment wrapText="1"/>
    </xf>
    <xf numFmtId="0" fontId="43" fillId="25" borderId="0" xfId="98" applyFont="1" applyFill="1"/>
  </cellXfs>
  <cellStyles count="15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6" xr:uid="{00000000-0005-0000-0000-000032000000}"/>
    <cellStyle name="Calculation 2 3" xfId="130" xr:uid="{00000000-0005-0000-0000-000032000000}"/>
    <cellStyle name="Calculation 2 4" xfId="146" xr:uid="{00000000-0005-0000-0000-000032000000}"/>
    <cellStyle name="Calculation 3" xfId="31" xr:uid="{00000000-0005-0000-0000-000033000000}"/>
    <cellStyle name="Calculation 3 2" xfId="136" xr:uid="{00000000-0005-0000-0000-000033000000}"/>
    <cellStyle name="Calculation 3 3" xfId="121" xr:uid="{00000000-0005-0000-0000-000033000000}"/>
    <cellStyle name="Calculation 3 4" xfId="117" xr:uid="{00000000-0005-0000-0000-000033000000}"/>
    <cellStyle name="Check Cell 2" xfId="74" xr:uid="{00000000-0005-0000-0000-000034000000}"/>
    <cellStyle name="Check Cell 3" xfId="32" xr:uid="{00000000-0005-0000-0000-000035000000}"/>
    <cellStyle name="Comma 2" xfId="106" xr:uid="{00000000-0005-0000-0000-000036000000}"/>
    <cellStyle name="Currency" xfId="111" builtinId="4"/>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49" xr:uid="{53B07298-5FEE-49A8-AC5C-B7AE9BD9B030}"/>
    <cellStyle name="Input 2" xfId="81" xr:uid="{00000000-0005-0000-0000-000046000000}"/>
    <cellStyle name="Input 2 2" xfId="115" xr:uid="{00000000-0005-0000-0000-000043000000}"/>
    <cellStyle name="Input 2 3" xfId="131" xr:uid="{00000000-0005-0000-0000-000043000000}"/>
    <cellStyle name="Input 2 4" xfId="135" xr:uid="{00000000-0005-0000-0000-000043000000}"/>
    <cellStyle name="Input 3" xfId="39" xr:uid="{00000000-0005-0000-0000-000047000000}"/>
    <cellStyle name="Input 3 2" xfId="134" xr:uid="{00000000-0005-0000-0000-000044000000}"/>
    <cellStyle name="Input 3 3" xfId="137" xr:uid="{00000000-0005-0000-0000-000044000000}"/>
    <cellStyle name="Input 3 4" xfId="122"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0 2" xfId="110" xr:uid="{E6C82317-7D11-47AF-878A-12C916B120E3}"/>
    <cellStyle name="Normal 4 11" xfId="102" xr:uid="{00000000-0005-0000-0000-000056000000}"/>
    <cellStyle name="Normal 4 12" xfId="104" xr:uid="{00000000-0005-0000-0000-000057000000}"/>
    <cellStyle name="Normal 4 13" xfId="124"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2" xr:uid="{00000000-0005-0000-0000-00009E000000}"/>
    <cellStyle name="Normal 9" xfId="148" xr:uid="{7925B094-4249-4236-9248-7EFCEDBE2F22}"/>
    <cellStyle name="Note 2" xfId="5" xr:uid="{00000000-0005-0000-0000-000063000000}"/>
    <cellStyle name="Note 2 2" xfId="125" xr:uid="{00000000-0005-0000-0000-00004E000000}"/>
    <cellStyle name="Note 2 3" xfId="142" xr:uid="{00000000-0005-0000-0000-00004E000000}"/>
    <cellStyle name="Note 2 4" xfId="119" xr:uid="{00000000-0005-0000-0000-00004E000000}"/>
    <cellStyle name="Note 3" xfId="89" xr:uid="{00000000-0005-0000-0000-000064000000}"/>
    <cellStyle name="Note 3 2" xfId="140" xr:uid="{00000000-0005-0000-0000-00004F000000}"/>
    <cellStyle name="Note 3 3" xfId="145" xr:uid="{00000000-0005-0000-0000-00004F000000}"/>
    <cellStyle name="Note 3 4" xfId="127" xr:uid="{00000000-0005-0000-0000-00004F000000}"/>
    <cellStyle name="Note 4" xfId="42" xr:uid="{00000000-0005-0000-0000-000065000000}"/>
    <cellStyle name="Note 4 2" xfId="99" xr:uid="{00000000-0005-0000-0000-000066000000}"/>
    <cellStyle name="Note 4 3" xfId="120" xr:uid="{00000000-0005-0000-0000-000050000000}"/>
    <cellStyle name="Note 4 4" xfId="128" xr:uid="{00000000-0005-0000-0000-000050000000}"/>
    <cellStyle name="Note 4 5" xfId="129" xr:uid="{00000000-0005-0000-0000-000050000000}"/>
    <cellStyle name="Output 2" xfId="84" xr:uid="{00000000-0005-0000-0000-000067000000}"/>
    <cellStyle name="Output 2 2" xfId="114" xr:uid="{00000000-0005-0000-0000-000051000000}"/>
    <cellStyle name="Output 2 3" xfId="143" xr:uid="{00000000-0005-0000-0000-000051000000}"/>
    <cellStyle name="Output 2 4" xfId="147" xr:uid="{00000000-0005-0000-0000-000051000000}"/>
    <cellStyle name="Output 3" xfId="43" xr:uid="{00000000-0005-0000-0000-000068000000}"/>
    <cellStyle name="Output 3 2" xfId="133" xr:uid="{00000000-0005-0000-0000-000052000000}"/>
    <cellStyle name="Output 3 3" xfId="138" xr:uid="{00000000-0005-0000-0000-000052000000}"/>
    <cellStyle name="Output 3 4" xfId="141" xr:uid="{00000000-0005-0000-0000-000052000000}"/>
    <cellStyle name="Percent 2" xfId="139" xr:uid="{00000000-0005-0000-0000-0000A0000000}"/>
    <cellStyle name="Title 2" xfId="85" xr:uid="{00000000-0005-0000-0000-000069000000}"/>
    <cellStyle name="Title 3" xfId="44" xr:uid="{00000000-0005-0000-0000-00006A000000}"/>
    <cellStyle name="Total 2" xfId="86" xr:uid="{00000000-0005-0000-0000-00006B000000}"/>
    <cellStyle name="Total 2 2" xfId="113" xr:uid="{00000000-0005-0000-0000-000056000000}"/>
    <cellStyle name="Total 2 3" xfId="144" xr:uid="{00000000-0005-0000-0000-000056000000}"/>
    <cellStyle name="Total 2 4" xfId="118" xr:uid="{00000000-0005-0000-0000-000056000000}"/>
    <cellStyle name="Total 3" xfId="45" xr:uid="{00000000-0005-0000-0000-00006C000000}"/>
    <cellStyle name="Total 3 2" xfId="132" xr:uid="{00000000-0005-0000-0000-000057000000}"/>
    <cellStyle name="Total 3 3" xfId="123" xr:uid="{00000000-0005-0000-0000-000057000000}"/>
    <cellStyle name="Total 3 4" xfId="126" xr:uid="{00000000-0005-0000-0000-000057000000}"/>
    <cellStyle name="Warning Text 2" xfId="87" xr:uid="{00000000-0005-0000-0000-00006D000000}"/>
    <cellStyle name="Warning Text 3" xfId="46" xr:uid="{00000000-0005-0000-0000-00006E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0C1A2A4-F044-4590-B443-78C3E49B3AE1}"/>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D3" sqref="D3:K3"/>
    </sheetView>
  </sheetViews>
  <sheetFormatPr defaultRowHeight="12.75" x14ac:dyDescent="0.2"/>
  <cols>
    <col min="1" max="3" width="9.42578125" customWidth="1"/>
    <col min="4" max="9" width="11.28515625" customWidth="1"/>
    <col min="10" max="11" width="16"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134"/>
      <c r="B3" s="134"/>
      <c r="C3" s="134"/>
      <c r="D3" s="14" t="s">
        <v>6</v>
      </c>
      <c r="E3" s="14" t="s">
        <v>7</v>
      </c>
      <c r="F3" s="14" t="s">
        <v>8</v>
      </c>
      <c r="G3" s="14" t="s">
        <v>9</v>
      </c>
      <c r="H3" s="14" t="s">
        <v>10</v>
      </c>
      <c r="I3" s="14" t="s">
        <v>58</v>
      </c>
      <c r="J3" s="14" t="s">
        <v>59</v>
      </c>
      <c r="K3" s="15" t="s">
        <v>32</v>
      </c>
    </row>
    <row r="4" spans="1:11" x14ac:dyDescent="0.2">
      <c r="A4" s="133" t="s">
        <v>55</v>
      </c>
      <c r="B4" s="133"/>
      <c r="C4" s="133"/>
      <c r="D4" s="13">
        <v>18</v>
      </c>
      <c r="E4" s="13">
        <v>8.3999999999999986</v>
      </c>
      <c r="F4" s="13">
        <v>7.8</v>
      </c>
      <c r="G4" s="13">
        <v>8</v>
      </c>
      <c r="H4" s="13">
        <v>4</v>
      </c>
      <c r="I4" s="13"/>
      <c r="J4" s="16">
        <f>'Cost Summary'!B13</f>
        <v>30</v>
      </c>
      <c r="K4" s="69">
        <f>SUM(D4:J4)</f>
        <v>76.199999999999989</v>
      </c>
    </row>
    <row r="5" spans="1:11" x14ac:dyDescent="0.2">
      <c r="A5" s="133" t="s">
        <v>56</v>
      </c>
      <c r="B5" s="133"/>
      <c r="C5" s="133"/>
      <c r="D5" s="13">
        <v>16.8</v>
      </c>
      <c r="E5" s="13">
        <v>9.6000000000000014</v>
      </c>
      <c r="F5" s="13">
        <v>8</v>
      </c>
      <c r="G5" s="13">
        <v>6.8</v>
      </c>
      <c r="H5" s="13">
        <v>3.8</v>
      </c>
      <c r="I5" s="13"/>
      <c r="J5" s="16">
        <f>'Cost Summary'!B14</f>
        <v>26.913012781348293</v>
      </c>
      <c r="K5" s="69">
        <f t="shared" ref="K5:K6" si="0">SUM(D5:J5)</f>
        <v>71.9130127813483</v>
      </c>
    </row>
    <row r="6" spans="1:11" x14ac:dyDescent="0.2">
      <c r="A6" s="133" t="s">
        <v>57</v>
      </c>
      <c r="B6" s="133"/>
      <c r="C6" s="133"/>
      <c r="D6" s="13">
        <v>14.8</v>
      </c>
      <c r="E6" s="13">
        <v>12</v>
      </c>
      <c r="F6" s="13">
        <v>6.8</v>
      </c>
      <c r="G6" s="13">
        <v>8.4</v>
      </c>
      <c r="H6" s="13">
        <v>3.4</v>
      </c>
      <c r="I6" s="13"/>
      <c r="J6" s="16">
        <f>'Cost Summary'!B15</f>
        <v>28.990418537497732</v>
      </c>
      <c r="K6" s="69">
        <f t="shared" si="0"/>
        <v>74.390418537497737</v>
      </c>
    </row>
  </sheetData>
  <mergeCells count="4">
    <mergeCell ref="A6:C6"/>
    <mergeCell ref="A3:C3"/>
    <mergeCell ref="A4:C4"/>
    <mergeCell ref="A5:C5"/>
  </mergeCells>
  <phoneticPr fontId="59"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workbookViewId="0">
      <selection activeCell="G32" sqref="G32"/>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4"/>
      <c r="B3" s="134"/>
      <c r="C3" s="134"/>
      <c r="D3" s="14" t="s">
        <v>6</v>
      </c>
      <c r="E3" s="14" t="s">
        <v>7</v>
      </c>
      <c r="F3" s="14" t="s">
        <v>8</v>
      </c>
      <c r="G3" s="14" t="s">
        <v>9</v>
      </c>
      <c r="H3" s="14" t="s">
        <v>10</v>
      </c>
      <c r="I3" s="14" t="s">
        <v>58</v>
      </c>
      <c r="J3" s="14" t="s">
        <v>59</v>
      </c>
      <c r="K3" s="15" t="s">
        <v>32</v>
      </c>
      <c r="L3" s="2"/>
      <c r="M3" s="2"/>
      <c r="N3" s="2"/>
      <c r="O3" s="2"/>
      <c r="P3" s="2"/>
    </row>
    <row r="4" spans="1:16" x14ac:dyDescent="0.2">
      <c r="A4" s="133" t="s">
        <v>55</v>
      </c>
      <c r="B4" s="133"/>
      <c r="C4" s="133"/>
      <c r="D4" s="13">
        <v>16.8</v>
      </c>
      <c r="E4" s="13">
        <v>12.600000000000001</v>
      </c>
      <c r="F4" s="13">
        <v>9</v>
      </c>
      <c r="G4" s="13">
        <v>8.4</v>
      </c>
      <c r="H4" s="13">
        <v>4.5</v>
      </c>
      <c r="I4" s="13"/>
      <c r="J4" s="16">
        <f>'Cost Summary'!B13</f>
        <v>30</v>
      </c>
      <c r="K4" s="69">
        <f>SUM(D4:J4)</f>
        <v>81.300000000000011</v>
      </c>
    </row>
    <row r="5" spans="1:16" x14ac:dyDescent="0.2">
      <c r="A5" s="133" t="s">
        <v>56</v>
      </c>
      <c r="B5" s="133"/>
      <c r="C5" s="133"/>
      <c r="D5" s="13">
        <v>18.8</v>
      </c>
      <c r="E5" s="13">
        <v>13.5</v>
      </c>
      <c r="F5" s="13">
        <v>8.4</v>
      </c>
      <c r="G5" s="13">
        <v>8.4</v>
      </c>
      <c r="H5" s="13">
        <v>4.8</v>
      </c>
      <c r="I5" s="13"/>
      <c r="J5" s="16">
        <f>'Cost Summary'!B14</f>
        <v>26.913012781348293</v>
      </c>
      <c r="K5" s="69">
        <f t="shared" ref="K5:K6" si="0">SUM(D5:J5)</f>
        <v>80.813012781348277</v>
      </c>
    </row>
    <row r="6" spans="1:16" x14ac:dyDescent="0.2">
      <c r="A6" s="133" t="s">
        <v>57</v>
      </c>
      <c r="B6" s="133"/>
      <c r="C6" s="133"/>
      <c r="D6" s="13">
        <v>15.2</v>
      </c>
      <c r="E6" s="13">
        <v>12</v>
      </c>
      <c r="F6" s="13">
        <v>8.4</v>
      </c>
      <c r="G6" s="13">
        <v>8.4</v>
      </c>
      <c r="H6" s="13">
        <v>3.9</v>
      </c>
      <c r="I6" s="13"/>
      <c r="J6" s="16">
        <f>'Cost Summary'!B15</f>
        <v>28.990418537497732</v>
      </c>
      <c r="K6" s="69">
        <f t="shared" si="0"/>
        <v>76.890418537497737</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E15" sqref="E15"/>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4"/>
      <c r="B3" s="134"/>
      <c r="C3" s="134"/>
      <c r="D3" s="14" t="s">
        <v>6</v>
      </c>
      <c r="E3" s="14" t="s">
        <v>7</v>
      </c>
      <c r="F3" s="14" t="s">
        <v>8</v>
      </c>
      <c r="G3" s="14" t="s">
        <v>9</v>
      </c>
      <c r="H3" s="14" t="s">
        <v>10</v>
      </c>
      <c r="I3" s="14" t="s">
        <v>58</v>
      </c>
      <c r="J3" s="14" t="s">
        <v>59</v>
      </c>
      <c r="K3" s="15" t="s">
        <v>32</v>
      </c>
      <c r="L3" s="2"/>
      <c r="M3" s="2"/>
      <c r="N3" s="2"/>
      <c r="O3" s="2"/>
      <c r="P3" s="2"/>
    </row>
    <row r="4" spans="1:16" x14ac:dyDescent="0.2">
      <c r="A4" s="133" t="s">
        <v>55</v>
      </c>
      <c r="B4" s="133"/>
      <c r="C4" s="133"/>
      <c r="D4" s="13">
        <v>16</v>
      </c>
      <c r="E4" s="13">
        <v>15</v>
      </c>
      <c r="F4" s="13">
        <v>8</v>
      </c>
      <c r="G4" s="13">
        <v>10</v>
      </c>
      <c r="H4" s="13">
        <v>5</v>
      </c>
      <c r="I4" s="13"/>
      <c r="J4" s="16">
        <f>'Cost Summary'!B13</f>
        <v>30</v>
      </c>
      <c r="K4" s="69">
        <f>SUM(D4:J4)</f>
        <v>84</v>
      </c>
    </row>
    <row r="5" spans="1:16" x14ac:dyDescent="0.2">
      <c r="A5" s="133" t="s">
        <v>56</v>
      </c>
      <c r="B5" s="133"/>
      <c r="C5" s="133"/>
      <c r="D5" s="13">
        <v>12</v>
      </c>
      <c r="E5" s="13">
        <v>12</v>
      </c>
      <c r="F5" s="13">
        <v>10</v>
      </c>
      <c r="G5" s="13">
        <v>8</v>
      </c>
      <c r="H5" s="13">
        <v>4</v>
      </c>
      <c r="I5" s="13"/>
      <c r="J5" s="16">
        <f>'Cost Summary'!B14</f>
        <v>26.913012781348293</v>
      </c>
      <c r="K5" s="69">
        <f t="shared" ref="K5:K6" si="0">SUM(D5:J5)</f>
        <v>72.9130127813483</v>
      </c>
    </row>
    <row r="6" spans="1:16" x14ac:dyDescent="0.2">
      <c r="A6" s="133" t="s">
        <v>57</v>
      </c>
      <c r="B6" s="133"/>
      <c r="C6" s="133"/>
      <c r="D6" s="13">
        <v>4</v>
      </c>
      <c r="E6" s="13">
        <v>6</v>
      </c>
      <c r="F6" s="13">
        <v>6</v>
      </c>
      <c r="G6" s="13">
        <v>6</v>
      </c>
      <c r="H6" s="13">
        <v>2</v>
      </c>
      <c r="I6" s="13"/>
      <c r="J6" s="16">
        <f>'Cost Summary'!B15</f>
        <v>28.990418537497732</v>
      </c>
      <c r="K6" s="69">
        <f t="shared" si="0"/>
        <v>52.990418537497732</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
  <sheetViews>
    <sheetView workbookViewId="0">
      <selection activeCell="E16" sqref="E1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4"/>
      <c r="B3" s="134"/>
      <c r="C3" s="134"/>
      <c r="D3" s="14" t="s">
        <v>6</v>
      </c>
      <c r="E3" s="14" t="s">
        <v>7</v>
      </c>
      <c r="F3" s="14" t="s">
        <v>8</v>
      </c>
      <c r="G3" s="14" t="s">
        <v>9</v>
      </c>
      <c r="H3" s="14" t="s">
        <v>10</v>
      </c>
      <c r="I3" s="14" t="s">
        <v>58</v>
      </c>
      <c r="J3" s="14" t="s">
        <v>59</v>
      </c>
      <c r="K3" s="15" t="s">
        <v>32</v>
      </c>
      <c r="L3" s="2"/>
      <c r="M3" s="2"/>
      <c r="N3" s="2"/>
      <c r="O3" s="2"/>
      <c r="P3" s="2"/>
    </row>
    <row r="4" spans="1:16" x14ac:dyDescent="0.2">
      <c r="A4" s="133" t="s">
        <v>55</v>
      </c>
      <c r="B4" s="133"/>
      <c r="C4" s="133"/>
      <c r="D4" s="13">
        <v>20</v>
      </c>
      <c r="E4" s="13">
        <v>13.5</v>
      </c>
      <c r="F4" s="13">
        <v>9</v>
      </c>
      <c r="G4" s="13">
        <v>8</v>
      </c>
      <c r="H4" s="13">
        <v>5</v>
      </c>
      <c r="I4" s="13"/>
      <c r="J4" s="16">
        <f>'Cost Summary'!B13</f>
        <v>30</v>
      </c>
      <c r="K4" s="69">
        <f>SUM(D4:J4)</f>
        <v>85.5</v>
      </c>
    </row>
    <row r="5" spans="1:16" x14ac:dyDescent="0.2">
      <c r="A5" s="133" t="s">
        <v>56</v>
      </c>
      <c r="B5" s="133"/>
      <c r="C5" s="133"/>
      <c r="D5" s="13">
        <v>20</v>
      </c>
      <c r="E5" s="13">
        <v>12</v>
      </c>
      <c r="F5" s="13">
        <v>8</v>
      </c>
      <c r="G5" s="13">
        <v>8</v>
      </c>
      <c r="H5" s="13">
        <v>4</v>
      </c>
      <c r="I5" s="13"/>
      <c r="J5" s="16">
        <f>'Cost Summary'!B14</f>
        <v>26.913012781348293</v>
      </c>
      <c r="K5" s="69">
        <f t="shared" ref="K5:K6" si="0">SUM(D5:J5)</f>
        <v>78.9130127813483</v>
      </c>
    </row>
    <row r="6" spans="1:16" x14ac:dyDescent="0.2">
      <c r="A6" s="133" t="s">
        <v>57</v>
      </c>
      <c r="B6" s="133"/>
      <c r="C6" s="133"/>
      <c r="D6" s="13">
        <v>20</v>
      </c>
      <c r="E6" s="13">
        <v>12</v>
      </c>
      <c r="F6" s="13">
        <v>8</v>
      </c>
      <c r="G6" s="13">
        <v>8</v>
      </c>
      <c r="H6" s="13">
        <v>4</v>
      </c>
      <c r="I6" s="13"/>
      <c r="J6" s="16">
        <f>'Cost Summary'!B15</f>
        <v>28.990418537497732</v>
      </c>
      <c r="K6" s="69">
        <f t="shared" si="0"/>
        <v>80.990418537497732</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
  <sheetViews>
    <sheetView workbookViewId="0">
      <selection activeCell="D3" sqref="D3:J3"/>
    </sheetView>
  </sheetViews>
  <sheetFormatPr defaultColWidth="9.140625"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4"/>
      <c r="B3" s="134"/>
      <c r="C3" s="134"/>
      <c r="D3" s="14" t="s">
        <v>6</v>
      </c>
      <c r="E3" s="14" t="s">
        <v>7</v>
      </c>
      <c r="F3" s="14" t="s">
        <v>8</v>
      </c>
      <c r="G3" s="14" t="s">
        <v>9</v>
      </c>
      <c r="H3" s="14" t="s">
        <v>10</v>
      </c>
      <c r="I3" s="14" t="s">
        <v>58</v>
      </c>
      <c r="J3" s="14" t="s">
        <v>59</v>
      </c>
      <c r="K3" s="15" t="s">
        <v>32</v>
      </c>
      <c r="L3" s="2"/>
      <c r="M3" s="2"/>
      <c r="N3" s="2"/>
      <c r="O3" s="2"/>
      <c r="P3" s="2"/>
    </row>
    <row r="4" spans="1:16" x14ac:dyDescent="0.2">
      <c r="A4" s="133" t="s">
        <v>55</v>
      </c>
      <c r="B4" s="133"/>
      <c r="C4" s="133"/>
      <c r="D4" s="13">
        <v>16</v>
      </c>
      <c r="E4" s="13">
        <v>12</v>
      </c>
      <c r="F4" s="13">
        <v>8</v>
      </c>
      <c r="G4" s="13">
        <v>8</v>
      </c>
      <c r="H4" s="13">
        <v>4</v>
      </c>
      <c r="I4" s="13"/>
      <c r="J4" s="16">
        <f>'Cost Summary'!B13</f>
        <v>30</v>
      </c>
      <c r="K4" s="69">
        <f>SUM(D4:J4)</f>
        <v>78</v>
      </c>
    </row>
    <row r="5" spans="1:16" x14ac:dyDescent="0.2">
      <c r="A5" s="133" t="s">
        <v>56</v>
      </c>
      <c r="B5" s="133"/>
      <c r="C5" s="133"/>
      <c r="D5" s="13">
        <v>14</v>
      </c>
      <c r="E5" s="13">
        <v>11.25</v>
      </c>
      <c r="F5" s="13">
        <v>8</v>
      </c>
      <c r="G5" s="13">
        <v>8</v>
      </c>
      <c r="H5" s="13">
        <v>4</v>
      </c>
      <c r="I5" s="13"/>
      <c r="J5" s="16">
        <f>'Cost Summary'!B14</f>
        <v>26.913012781348293</v>
      </c>
      <c r="K5" s="69">
        <f t="shared" ref="K5:K6" si="0">SUM(D5:J5)</f>
        <v>72.1630127813483</v>
      </c>
    </row>
    <row r="6" spans="1:16" x14ac:dyDescent="0.2">
      <c r="A6" s="133" t="s">
        <v>57</v>
      </c>
      <c r="B6" s="133"/>
      <c r="C6" s="133"/>
      <c r="D6" s="13">
        <v>12</v>
      </c>
      <c r="E6" s="13">
        <v>10.5</v>
      </c>
      <c r="F6" s="13">
        <v>8</v>
      </c>
      <c r="G6" s="13">
        <v>7</v>
      </c>
      <c r="H6" s="13">
        <v>3.5</v>
      </c>
      <c r="I6" s="13"/>
      <c r="J6" s="16">
        <f>'Cost Summary'!B15</f>
        <v>28.990418537497732</v>
      </c>
      <c r="K6" s="69">
        <f t="shared" si="0"/>
        <v>69.990418537497732</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4290-D1FA-41C9-A9A7-3B69491DDAB6}">
  <sheetPr>
    <tabColor rgb="FF00B0F0"/>
  </sheetPr>
  <dimension ref="A1:O24"/>
  <sheetViews>
    <sheetView zoomScaleNormal="100" workbookViewId="0">
      <selection activeCell="I15" sqref="I15"/>
    </sheetView>
  </sheetViews>
  <sheetFormatPr defaultColWidth="9.140625" defaultRowHeight="12.75" x14ac:dyDescent="0.2"/>
  <cols>
    <col min="1" max="1" width="28.85546875" style="92" bestFit="1" customWidth="1"/>
    <col min="2" max="9" width="9.140625" style="92"/>
    <col min="10" max="10" width="9.85546875" style="92" bestFit="1" customWidth="1"/>
    <col min="11" max="16384" width="9.140625" style="92"/>
  </cols>
  <sheetData>
    <row r="1" spans="1:15" ht="15.75" x14ac:dyDescent="0.25">
      <c r="A1" s="89" t="s">
        <v>0</v>
      </c>
      <c r="B1" s="90"/>
      <c r="C1" s="90"/>
      <c r="D1" s="90"/>
      <c r="E1" s="91"/>
      <c r="F1" s="91"/>
      <c r="G1" s="91"/>
      <c r="H1" s="91"/>
      <c r="I1" s="91"/>
    </row>
    <row r="2" spans="1:15" ht="15.75" x14ac:dyDescent="0.25">
      <c r="A2" s="91"/>
    </row>
    <row r="3" spans="1:15" x14ac:dyDescent="0.2">
      <c r="A3" s="134"/>
      <c r="B3" s="134"/>
      <c r="C3" s="134"/>
      <c r="D3" s="14" t="s">
        <v>6</v>
      </c>
      <c r="E3" s="14" t="s">
        <v>7</v>
      </c>
      <c r="F3" s="14" t="s">
        <v>8</v>
      </c>
      <c r="G3" s="14" t="s">
        <v>9</v>
      </c>
      <c r="H3" s="14" t="s">
        <v>10</v>
      </c>
      <c r="I3" s="14" t="s">
        <v>58</v>
      </c>
      <c r="J3" s="14" t="s">
        <v>59</v>
      </c>
      <c r="K3" s="15" t="s">
        <v>32</v>
      </c>
      <c r="L3" s="2"/>
      <c r="M3" s="2"/>
      <c r="N3" s="2"/>
      <c r="O3" s="2"/>
    </row>
    <row r="4" spans="1:15" x14ac:dyDescent="0.2">
      <c r="A4" s="133" t="str">
        <f>'1'!A4:C4</f>
        <v>Austin</v>
      </c>
      <c r="B4" s="133"/>
      <c r="C4" s="133"/>
      <c r="D4" s="16"/>
      <c r="E4" s="13"/>
      <c r="F4" s="13"/>
      <c r="G4" s="13"/>
      <c r="H4" s="13"/>
      <c r="I4" s="13">
        <v>10</v>
      </c>
      <c r="K4" s="69">
        <f>SUM(I4)</f>
        <v>10</v>
      </c>
      <c r="L4"/>
      <c r="M4"/>
      <c r="N4"/>
      <c r="O4"/>
    </row>
    <row r="5" spans="1:15" x14ac:dyDescent="0.2">
      <c r="A5" s="133" t="str">
        <f>'1'!A5:C5</f>
        <v>Harvey Cleary</v>
      </c>
      <c r="B5" s="133"/>
      <c r="C5" s="133"/>
      <c r="D5" s="16"/>
      <c r="E5" s="13"/>
      <c r="F5" s="13"/>
      <c r="G5" s="13"/>
      <c r="H5" s="13"/>
      <c r="I5" s="13">
        <v>10</v>
      </c>
      <c r="K5" s="69">
        <f>SUM(I5)</f>
        <v>10</v>
      </c>
      <c r="L5"/>
      <c r="M5"/>
      <c r="N5"/>
      <c r="O5"/>
    </row>
    <row r="6" spans="1:15" x14ac:dyDescent="0.2">
      <c r="A6" s="133" t="str">
        <f>'1'!A6:C6</f>
        <v>Whiting Turner</v>
      </c>
      <c r="B6" s="133"/>
      <c r="C6" s="133"/>
      <c r="D6" s="16"/>
      <c r="E6" s="13"/>
      <c r="F6" s="13"/>
      <c r="G6" s="13"/>
      <c r="H6" s="13"/>
      <c r="I6" s="13">
        <v>10</v>
      </c>
      <c r="K6" s="69">
        <f>SUM(I6)</f>
        <v>10</v>
      </c>
      <c r="L6"/>
      <c r="M6"/>
      <c r="N6"/>
      <c r="O6"/>
    </row>
    <row r="7" spans="1:15" x14ac:dyDescent="0.2">
      <c r="A7"/>
      <c r="B7"/>
      <c r="C7"/>
      <c r="D7"/>
      <c r="E7"/>
      <c r="F7"/>
      <c r="G7"/>
      <c r="H7"/>
      <c r="I7"/>
      <c r="J7"/>
      <c r="K7"/>
      <c r="L7"/>
      <c r="M7"/>
      <c r="N7"/>
      <c r="O7"/>
    </row>
    <row r="8" spans="1:15" x14ac:dyDescent="0.2">
      <c r="A8"/>
      <c r="B8"/>
      <c r="C8"/>
      <c r="D8"/>
      <c r="E8"/>
      <c r="F8"/>
      <c r="G8"/>
      <c r="H8"/>
      <c r="I8"/>
      <c r="J8"/>
      <c r="K8"/>
      <c r="L8"/>
      <c r="M8"/>
      <c r="N8"/>
      <c r="O8"/>
    </row>
    <row r="9" spans="1:15" x14ac:dyDescent="0.2">
      <c r="A9"/>
      <c r="B9"/>
      <c r="C9"/>
      <c r="D9"/>
      <c r="E9"/>
      <c r="F9"/>
      <c r="G9"/>
      <c r="H9"/>
      <c r="I9"/>
      <c r="J9"/>
      <c r="K9"/>
      <c r="L9"/>
      <c r="M9"/>
      <c r="N9"/>
      <c r="O9"/>
    </row>
    <row r="10" spans="1:15" x14ac:dyDescent="0.2">
      <c r="A10"/>
      <c r="B10"/>
      <c r="C10"/>
      <c r="D10"/>
      <c r="E10"/>
      <c r="F10"/>
      <c r="G10"/>
      <c r="H10"/>
      <c r="I10"/>
      <c r="J10"/>
      <c r="K10"/>
      <c r="L10"/>
      <c r="M10"/>
      <c r="N10"/>
      <c r="O10"/>
    </row>
    <row r="11" spans="1:15" x14ac:dyDescent="0.2">
      <c r="A11"/>
      <c r="B11"/>
      <c r="C11"/>
      <c r="D11"/>
      <c r="E11"/>
      <c r="F11"/>
      <c r="G11"/>
      <c r="H11"/>
      <c r="I11"/>
      <c r="J11"/>
      <c r="K11"/>
      <c r="L11"/>
      <c r="M11"/>
      <c r="N11"/>
      <c r="O11"/>
    </row>
    <row r="12" spans="1:15" x14ac:dyDescent="0.2">
      <c r="A12"/>
      <c r="B12"/>
      <c r="C12"/>
      <c r="D12"/>
      <c r="E12"/>
      <c r="F12"/>
      <c r="G12"/>
      <c r="H12"/>
      <c r="I12"/>
      <c r="J12"/>
      <c r="K12"/>
      <c r="L12"/>
      <c r="M12"/>
      <c r="N12"/>
      <c r="O12"/>
    </row>
    <row r="13" spans="1:15" x14ac:dyDescent="0.2">
      <c r="A13"/>
      <c r="B13"/>
      <c r="C13"/>
      <c r="D13"/>
      <c r="E13"/>
      <c r="F13"/>
      <c r="G13"/>
      <c r="H13"/>
      <c r="I13"/>
      <c r="J13"/>
      <c r="K13"/>
      <c r="L13"/>
      <c r="M13"/>
      <c r="N13"/>
      <c r="O13"/>
    </row>
    <row r="14" spans="1:15" x14ac:dyDescent="0.2">
      <c r="A14"/>
      <c r="B14"/>
      <c r="C14"/>
      <c r="D14"/>
      <c r="E14"/>
      <c r="F14"/>
      <c r="G14"/>
      <c r="H14"/>
      <c r="I14"/>
      <c r="J14"/>
      <c r="K14"/>
      <c r="L14"/>
      <c r="M14"/>
      <c r="N14"/>
      <c r="O14"/>
    </row>
    <row r="15" spans="1:15" x14ac:dyDescent="0.2">
      <c r="A15"/>
      <c r="B15"/>
      <c r="C15"/>
      <c r="D15"/>
      <c r="E15"/>
      <c r="F15"/>
      <c r="G15"/>
      <c r="H15"/>
      <c r="I15"/>
      <c r="J15"/>
      <c r="K15"/>
      <c r="L15"/>
      <c r="M15"/>
      <c r="N15"/>
      <c r="O15"/>
    </row>
    <row r="16" spans="1:15" x14ac:dyDescent="0.2">
      <c r="A16"/>
      <c r="B16"/>
      <c r="C16"/>
      <c r="D16"/>
      <c r="E16"/>
      <c r="F16"/>
      <c r="G16"/>
      <c r="H16"/>
      <c r="I16"/>
      <c r="J16"/>
      <c r="K16"/>
      <c r="L16"/>
      <c r="M16"/>
      <c r="N16"/>
      <c r="O16"/>
    </row>
    <row r="17" spans="1:15" x14ac:dyDescent="0.2">
      <c r="A17"/>
      <c r="B17"/>
      <c r="C17"/>
      <c r="D17"/>
      <c r="E17"/>
      <c r="F17"/>
      <c r="G17"/>
      <c r="H17"/>
      <c r="I17"/>
      <c r="J17"/>
      <c r="K17"/>
      <c r="L17"/>
      <c r="M17"/>
      <c r="N17"/>
      <c r="O17"/>
    </row>
    <row r="18" spans="1:15" x14ac:dyDescent="0.2">
      <c r="A18"/>
      <c r="B18"/>
      <c r="C18"/>
      <c r="D18"/>
      <c r="E18"/>
      <c r="F18"/>
      <c r="G18"/>
      <c r="H18"/>
      <c r="I18"/>
      <c r="J18"/>
      <c r="K18"/>
      <c r="L18"/>
      <c r="M18"/>
      <c r="N18"/>
      <c r="O18"/>
    </row>
    <row r="19" spans="1:15" x14ac:dyDescent="0.2">
      <c r="A19"/>
      <c r="B19"/>
      <c r="C19"/>
      <c r="D19"/>
      <c r="E19"/>
      <c r="F19"/>
      <c r="G19"/>
      <c r="H19"/>
      <c r="I19"/>
      <c r="J19"/>
      <c r="K19"/>
      <c r="L19"/>
      <c r="M19"/>
      <c r="N19"/>
      <c r="O19"/>
    </row>
    <row r="20" spans="1:15" x14ac:dyDescent="0.2">
      <c r="A20"/>
      <c r="B20"/>
      <c r="C20"/>
      <c r="D20"/>
      <c r="E20"/>
      <c r="F20"/>
      <c r="G20"/>
      <c r="H20"/>
      <c r="I20"/>
      <c r="J20"/>
      <c r="K20"/>
      <c r="L20"/>
      <c r="M20"/>
      <c r="N20"/>
      <c r="O20"/>
    </row>
    <row r="21" spans="1:15" x14ac:dyDescent="0.2">
      <c r="A21"/>
      <c r="B21"/>
      <c r="C21"/>
      <c r="D21"/>
      <c r="E21"/>
      <c r="F21"/>
      <c r="G21"/>
      <c r="H21"/>
      <c r="I21"/>
      <c r="J21"/>
      <c r="K21"/>
      <c r="L21"/>
      <c r="M21"/>
      <c r="N21"/>
      <c r="O21"/>
    </row>
    <row r="22" spans="1:15" x14ac:dyDescent="0.2">
      <c r="A22"/>
      <c r="B22"/>
      <c r="C22"/>
      <c r="D22"/>
      <c r="E22"/>
      <c r="F22"/>
      <c r="G22"/>
      <c r="H22"/>
      <c r="I22"/>
      <c r="J22"/>
      <c r="K22"/>
      <c r="L22"/>
      <c r="M22"/>
      <c r="N22"/>
      <c r="O22"/>
    </row>
    <row r="23" spans="1:15" x14ac:dyDescent="0.2">
      <c r="A23"/>
      <c r="B23"/>
      <c r="C23"/>
      <c r="D23"/>
      <c r="E23"/>
      <c r="F23"/>
      <c r="G23"/>
      <c r="H23"/>
      <c r="I23"/>
      <c r="J23"/>
      <c r="K23"/>
      <c r="L23"/>
      <c r="M23"/>
      <c r="N23"/>
      <c r="O23"/>
    </row>
    <row r="24" spans="1:15" x14ac:dyDescent="0.2">
      <c r="A24"/>
      <c r="B24"/>
      <c r="C24"/>
      <c r="D24"/>
      <c r="E24"/>
      <c r="F24"/>
      <c r="G24"/>
      <c r="H24"/>
      <c r="I24"/>
      <c r="J24"/>
      <c r="K24"/>
      <c r="L24"/>
      <c r="M24"/>
      <c r="N24"/>
      <c r="O24"/>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zoomScaleNormal="100" workbookViewId="0">
      <selection activeCell="D33" sqref="D33"/>
    </sheetView>
  </sheetViews>
  <sheetFormatPr defaultColWidth="9.140625" defaultRowHeight="12.75" x14ac:dyDescent="0.2"/>
  <cols>
    <col min="1" max="1" width="33.5703125" customWidth="1"/>
    <col min="2" max="8" width="20.42578125" customWidth="1"/>
    <col min="10" max="10" width="27.85546875" customWidth="1"/>
    <col min="11" max="11" width="14" bestFit="1" customWidth="1"/>
    <col min="12" max="12" width="15" bestFit="1" customWidth="1"/>
    <col min="13" max="13" width="18.42578125" bestFit="1" customWidth="1"/>
    <col min="14" max="14" width="24.5703125" customWidth="1"/>
    <col min="15" max="15" width="19.28515625" customWidth="1"/>
  </cols>
  <sheetData>
    <row r="1" spans="1:13" ht="34.5" customHeight="1" thickBot="1" x14ac:dyDescent="0.25">
      <c r="A1" s="135"/>
      <c r="B1" s="17"/>
      <c r="C1" s="18" t="s">
        <v>14</v>
      </c>
      <c r="D1" s="137" t="s">
        <v>15</v>
      </c>
      <c r="E1" s="138"/>
      <c r="F1" s="19"/>
      <c r="G1" s="20"/>
      <c r="H1" s="21" t="s">
        <v>16</v>
      </c>
    </row>
    <row r="2" spans="1:13" ht="39" customHeight="1" thickBot="1" x14ac:dyDescent="0.25">
      <c r="A2" s="136"/>
      <c r="B2" s="22" t="s">
        <v>17</v>
      </c>
      <c r="C2" s="23" t="s">
        <v>18</v>
      </c>
      <c r="D2" s="24" t="s">
        <v>19</v>
      </c>
      <c r="E2" s="25" t="s">
        <v>20</v>
      </c>
      <c r="F2" s="26" t="s">
        <v>42</v>
      </c>
      <c r="G2" s="27" t="s">
        <v>21</v>
      </c>
      <c r="H2" s="28" t="s">
        <v>22</v>
      </c>
      <c r="J2" s="29" t="s">
        <v>23</v>
      </c>
    </row>
    <row r="3" spans="1:13" ht="15" x14ac:dyDescent="0.2">
      <c r="A3" s="30" t="str">
        <f>'1'!A4:C4</f>
        <v>Austin</v>
      </c>
      <c r="B3" s="31">
        <f>J3*D3</f>
        <v>1606059.9556369951</v>
      </c>
      <c r="C3" s="32">
        <v>40000</v>
      </c>
      <c r="D3" s="33">
        <v>3.6900000000000002E-2</v>
      </c>
      <c r="E3" s="88">
        <f>F30</f>
        <v>113024</v>
      </c>
      <c r="F3" s="88">
        <f>E3*F7</f>
        <v>2260480</v>
      </c>
      <c r="G3" s="34">
        <f>360000+208800</f>
        <v>568800</v>
      </c>
      <c r="H3" s="35">
        <f>B3+C3+F3+G3</f>
        <v>4475339.9556369949</v>
      </c>
      <c r="J3" s="36">
        <f>(C7-(F3+G3)-C3)/(D3+1)</f>
        <v>43524660.044363007</v>
      </c>
      <c r="K3" s="37"/>
      <c r="L3" s="37"/>
      <c r="M3" s="37"/>
    </row>
    <row r="4" spans="1:13" ht="15" x14ac:dyDescent="0.2">
      <c r="A4" s="30" t="str">
        <f>'1'!A5:C5</f>
        <v>Harvey Cleary</v>
      </c>
      <c r="B4" s="31">
        <f>J4*D4</f>
        <v>1593373.5303760848</v>
      </c>
      <c r="C4" s="38">
        <v>145000</v>
      </c>
      <c r="D4" s="39">
        <v>3.6999999999999998E-2</v>
      </c>
      <c r="E4" s="106">
        <f>G30</f>
        <v>128175</v>
      </c>
      <c r="F4" s="88">
        <f>E4*F7</f>
        <v>2563500</v>
      </c>
      <c r="G4" s="40">
        <f>328000+305977</f>
        <v>633977</v>
      </c>
      <c r="H4" s="35">
        <f t="shared" ref="H4:H5" si="0">B4+C4+F4+G4</f>
        <v>4935850.5303760851</v>
      </c>
      <c r="J4" s="41">
        <f>(C7-(F4+G4)-C4)/(D4+1)</f>
        <v>43064149.469623916</v>
      </c>
      <c r="K4" s="37"/>
      <c r="L4" s="37"/>
      <c r="M4" s="37"/>
    </row>
    <row r="5" spans="1:13" ht="15" x14ac:dyDescent="0.2">
      <c r="A5" s="30" t="str">
        <f>'1'!A6:C6</f>
        <v>Whiting Turner</v>
      </c>
      <c r="B5" s="31">
        <f>J5*D5</f>
        <v>1726287.2975572224</v>
      </c>
      <c r="C5" s="38">
        <v>150000</v>
      </c>
      <c r="D5" s="39">
        <v>3.9800000000000002E-2</v>
      </c>
      <c r="E5" s="106">
        <f>H30</f>
        <v>105083</v>
      </c>
      <c r="F5" s="88">
        <f>E5*F7</f>
        <v>2101660</v>
      </c>
      <c r="G5" s="40">
        <f>240000+408000</f>
        <v>648000</v>
      </c>
      <c r="H5" s="35">
        <f t="shared" si="0"/>
        <v>4625947.2975572227</v>
      </c>
      <c r="J5" s="41">
        <f>(C7-(F5+G5)-C5)/(D5+1)</f>
        <v>43374052.702442773</v>
      </c>
      <c r="K5" s="37"/>
      <c r="L5" s="37"/>
      <c r="M5" s="37"/>
    </row>
    <row r="6" spans="1:13" ht="13.5" thickBot="1" x14ac:dyDescent="0.25">
      <c r="A6" s="42"/>
      <c r="B6" s="42"/>
      <c r="C6" s="43"/>
      <c r="D6" s="43"/>
      <c r="E6" s="43"/>
      <c r="F6" s="43"/>
      <c r="G6" s="43"/>
      <c r="H6" s="43"/>
    </row>
    <row r="7" spans="1:13" ht="15.75" thickBot="1" x14ac:dyDescent="0.25">
      <c r="A7" s="42"/>
      <c r="B7" s="44" t="s">
        <v>24</v>
      </c>
      <c r="C7" s="71">
        <v>48000000</v>
      </c>
      <c r="E7" s="45" t="s">
        <v>25</v>
      </c>
      <c r="F7" s="70">
        <v>20</v>
      </c>
      <c r="G7" s="45" t="s">
        <v>26</v>
      </c>
      <c r="H7" s="46">
        <f>MIN(H3:H5)</f>
        <v>4475339.9556369949</v>
      </c>
    </row>
    <row r="8" spans="1:13" x14ac:dyDescent="0.2">
      <c r="B8" s="47"/>
    </row>
    <row r="9" spans="1:13" x14ac:dyDescent="0.2">
      <c r="A9" s="42"/>
      <c r="B9" s="48"/>
      <c r="C9" s="48"/>
      <c r="D9" s="42"/>
      <c r="E9" s="42"/>
      <c r="F9" s="42"/>
      <c r="G9" s="42"/>
    </row>
    <row r="10" spans="1:13" ht="15.75" thickBot="1" x14ac:dyDescent="0.3">
      <c r="A10" s="49" t="s">
        <v>27</v>
      </c>
      <c r="B10" s="49" t="s">
        <v>28</v>
      </c>
      <c r="C10" s="49"/>
      <c r="D10" s="49"/>
      <c r="E10" s="49"/>
      <c r="F10" s="49"/>
      <c r="G10" s="49"/>
      <c r="H10" s="49"/>
    </row>
    <row r="11" spans="1:13" ht="21" thickBot="1" x14ac:dyDescent="0.25">
      <c r="A11" s="139" t="s">
        <v>29</v>
      </c>
      <c r="B11" s="140"/>
      <c r="C11" s="140"/>
      <c r="D11" s="140"/>
      <c r="E11" s="141"/>
      <c r="F11" s="50"/>
      <c r="G11" s="42"/>
      <c r="K11" s="2"/>
    </row>
    <row r="12" spans="1:13" ht="13.5" thickBot="1" x14ac:dyDescent="0.25">
      <c r="A12" s="51"/>
      <c r="B12" s="52" t="s">
        <v>13</v>
      </c>
      <c r="C12" s="53" t="s">
        <v>12</v>
      </c>
      <c r="D12" s="54" t="s">
        <v>30</v>
      </c>
      <c r="E12" s="54" t="s">
        <v>31</v>
      </c>
      <c r="F12" s="55"/>
      <c r="G12" s="56"/>
      <c r="H12" s="57"/>
      <c r="I12" s="2"/>
      <c r="J12" s="2"/>
      <c r="K12" s="2"/>
      <c r="L12" s="57"/>
      <c r="M12" s="2"/>
    </row>
    <row r="13" spans="1:13" ht="15" x14ac:dyDescent="0.2">
      <c r="A13" s="58" t="str">
        <f>A3</f>
        <v>Austin</v>
      </c>
      <c r="B13" s="59">
        <f>((1-(H3-H7)/H7)*30)</f>
        <v>30</v>
      </c>
      <c r="C13" s="60">
        <f>RANK(B13,$B$13:$B$15,0)</f>
        <v>1</v>
      </c>
      <c r="D13" s="61">
        <f>$H$7-H3</f>
        <v>0</v>
      </c>
      <c r="E13" s="62">
        <f>(-D13/$H$7)</f>
        <v>0</v>
      </c>
      <c r="F13" s="63"/>
      <c r="G13" s="64"/>
      <c r="H13" s="2"/>
      <c r="L13" s="57"/>
    </row>
    <row r="14" spans="1:13" ht="15" x14ac:dyDescent="0.2">
      <c r="A14" s="58" t="str">
        <f t="shared" ref="A14:A15" si="1">A4</f>
        <v>Harvey Cleary</v>
      </c>
      <c r="B14" s="65">
        <f>((1-(H4-H7)/H7)*30)</f>
        <v>26.913012781348293</v>
      </c>
      <c r="C14" s="60">
        <f>RANK(B14,$B$13:$B$15,0)</f>
        <v>3</v>
      </c>
      <c r="D14" s="61">
        <f>$H$7-H4</f>
        <v>-460510.57473909017</v>
      </c>
      <c r="E14" s="62">
        <f>(-D14/$H$7)</f>
        <v>0.10289957395505693</v>
      </c>
      <c r="F14" s="63"/>
      <c r="G14" s="64"/>
      <c r="H14" s="2"/>
      <c r="L14" s="57"/>
    </row>
    <row r="15" spans="1:13" ht="15" x14ac:dyDescent="0.2">
      <c r="A15" s="58" t="str">
        <f t="shared" si="1"/>
        <v>Whiting Turner</v>
      </c>
      <c r="B15" s="65">
        <f>((1-(H5-H7)/H7)*30)</f>
        <v>28.990418537497732</v>
      </c>
      <c r="C15" s="60">
        <f>RANK(B15,$B$13:$B$15,0)</f>
        <v>2</v>
      </c>
      <c r="D15" s="61">
        <f>$H$7-H5</f>
        <v>-150607.34192022774</v>
      </c>
      <c r="E15" s="62">
        <f>(-D15/$H$7)</f>
        <v>3.3652715416742265E-2</v>
      </c>
      <c r="F15" s="63"/>
      <c r="G15" s="66" t="s">
        <v>16</v>
      </c>
      <c r="H15" s="2"/>
      <c r="L15" s="57"/>
    </row>
    <row r="17" spans="1:13" ht="12.75" customHeight="1" x14ac:dyDescent="0.2"/>
    <row r="18" spans="1:13" ht="12.75" customHeight="1" x14ac:dyDescent="0.2">
      <c r="H18" s="67"/>
      <c r="J18" s="68"/>
      <c r="K18" s="68"/>
      <c r="L18" s="68"/>
      <c r="M18" s="68"/>
    </row>
    <row r="19" spans="1:13" ht="12.75" customHeight="1" x14ac:dyDescent="0.2">
      <c r="C19" s="97" t="s">
        <v>53</v>
      </c>
      <c r="D19" s="98"/>
      <c r="E19" s="99"/>
      <c r="F19" s="97" t="s">
        <v>54</v>
      </c>
      <c r="G19" s="101"/>
      <c r="H19" s="102"/>
    </row>
    <row r="20" spans="1:13" ht="12.75" customHeight="1" thickBot="1" x14ac:dyDescent="0.25">
      <c r="B20" s="57" t="s">
        <v>52</v>
      </c>
      <c r="C20" s="103" t="str">
        <f>A3</f>
        <v>Austin</v>
      </c>
      <c r="D20" s="104" t="str">
        <f>A4</f>
        <v>Harvey Cleary</v>
      </c>
      <c r="E20" s="105" t="str">
        <f>A5</f>
        <v>Whiting Turner</v>
      </c>
      <c r="F20" s="103" t="str">
        <f>A3</f>
        <v>Austin</v>
      </c>
      <c r="G20" s="104" t="str">
        <f>A4</f>
        <v>Harvey Cleary</v>
      </c>
      <c r="H20" s="105" t="str">
        <f>A5</f>
        <v>Whiting Turner</v>
      </c>
    </row>
    <row r="21" spans="1:13" ht="12.75" customHeight="1" thickBot="1" x14ac:dyDescent="0.25">
      <c r="A21" s="118" t="s">
        <v>43</v>
      </c>
      <c r="B21" s="119">
        <v>1</v>
      </c>
      <c r="C21" s="120">
        <v>17940</v>
      </c>
      <c r="D21" s="120">
        <v>25057</v>
      </c>
      <c r="E21" s="120">
        <v>23190</v>
      </c>
      <c r="F21" s="121">
        <f>C21*B21</f>
        <v>17940</v>
      </c>
      <c r="G21" s="121">
        <f>D21*B21</f>
        <v>25057</v>
      </c>
      <c r="H21" s="121">
        <f>E21*B21</f>
        <v>23190</v>
      </c>
    </row>
    <row r="22" spans="1:13" ht="12.75" customHeight="1" thickBot="1" x14ac:dyDescent="0.25">
      <c r="A22" s="118" t="s">
        <v>44</v>
      </c>
      <c r="B22" s="119">
        <v>1</v>
      </c>
      <c r="C22" s="120">
        <v>14353</v>
      </c>
      <c r="D22" s="120">
        <v>13815</v>
      </c>
      <c r="E22" s="120">
        <v>13625</v>
      </c>
      <c r="F22" s="121">
        <f t="shared" ref="F22:F29" si="2">C22*B22</f>
        <v>14353</v>
      </c>
      <c r="G22" s="121">
        <f t="shared" ref="G22:G29" si="3">D22*B22</f>
        <v>13815</v>
      </c>
      <c r="H22" s="121">
        <f t="shared" ref="H22:H29" si="4">E22*B22</f>
        <v>13625</v>
      </c>
    </row>
    <row r="23" spans="1:13" ht="12.75" customHeight="1" thickBot="1" x14ac:dyDescent="0.25">
      <c r="A23" s="118" t="s">
        <v>45</v>
      </c>
      <c r="B23" s="119">
        <v>1</v>
      </c>
      <c r="C23" s="120">
        <v>14353</v>
      </c>
      <c r="D23" s="120">
        <v>20586</v>
      </c>
      <c r="E23" s="120">
        <v>19969</v>
      </c>
      <c r="F23" s="121">
        <f t="shared" si="2"/>
        <v>14353</v>
      </c>
      <c r="G23" s="121">
        <f t="shared" si="3"/>
        <v>20586</v>
      </c>
      <c r="H23" s="121">
        <f t="shared" si="4"/>
        <v>19969</v>
      </c>
    </row>
    <row r="24" spans="1:13" ht="12.75" customHeight="1" thickBot="1" x14ac:dyDescent="0.25">
      <c r="A24" s="118" t="s">
        <v>46</v>
      </c>
      <c r="B24" s="119">
        <v>1</v>
      </c>
      <c r="C24" s="120">
        <v>9430</v>
      </c>
      <c r="D24" s="120">
        <v>10490</v>
      </c>
      <c r="E24" s="120">
        <v>10162</v>
      </c>
      <c r="F24" s="121">
        <f t="shared" si="2"/>
        <v>9430</v>
      </c>
      <c r="G24" s="121">
        <f t="shared" si="3"/>
        <v>10490</v>
      </c>
      <c r="H24" s="121">
        <f t="shared" si="4"/>
        <v>10162</v>
      </c>
    </row>
    <row r="25" spans="1:13" ht="13.5" thickBot="1" x14ac:dyDescent="0.25">
      <c r="A25" s="118" t="s">
        <v>47</v>
      </c>
      <c r="B25" s="119">
        <v>1</v>
      </c>
      <c r="C25" s="120">
        <v>9430</v>
      </c>
      <c r="D25" s="120">
        <v>12393</v>
      </c>
      <c r="E25" s="120">
        <v>9659</v>
      </c>
      <c r="F25" s="121">
        <f t="shared" si="2"/>
        <v>9430</v>
      </c>
      <c r="G25" s="121">
        <f t="shared" si="3"/>
        <v>12393</v>
      </c>
      <c r="H25" s="121">
        <f t="shared" si="4"/>
        <v>9659</v>
      </c>
    </row>
    <row r="26" spans="1:13" ht="13.5" thickBot="1" x14ac:dyDescent="0.25">
      <c r="A26" s="118" t="s">
        <v>48</v>
      </c>
      <c r="B26" s="119">
        <v>1</v>
      </c>
      <c r="C26" s="120">
        <v>13156</v>
      </c>
      <c r="D26" s="120">
        <v>14757</v>
      </c>
      <c r="E26" s="120">
        <v>3000</v>
      </c>
      <c r="F26" s="121">
        <f t="shared" si="2"/>
        <v>13156</v>
      </c>
      <c r="G26" s="121">
        <f t="shared" si="3"/>
        <v>14757</v>
      </c>
      <c r="H26" s="121">
        <f t="shared" si="4"/>
        <v>3000</v>
      </c>
    </row>
    <row r="27" spans="1:13" ht="13.5" thickBot="1" x14ac:dyDescent="0.25">
      <c r="A27" s="118" t="s">
        <v>49</v>
      </c>
      <c r="B27" s="119">
        <v>1</v>
      </c>
      <c r="C27" s="120">
        <v>13156</v>
      </c>
      <c r="D27" s="120">
        <v>12692</v>
      </c>
      <c r="E27" s="120">
        <v>8761</v>
      </c>
      <c r="F27" s="121">
        <f t="shared" si="2"/>
        <v>13156</v>
      </c>
      <c r="G27" s="121">
        <f t="shared" si="3"/>
        <v>12692</v>
      </c>
      <c r="H27" s="121">
        <f t="shared" si="4"/>
        <v>8761</v>
      </c>
    </row>
    <row r="28" spans="1:13" ht="13.5" thickBot="1" x14ac:dyDescent="0.25">
      <c r="A28" s="118" t="s">
        <v>50</v>
      </c>
      <c r="B28" s="119">
        <v>1</v>
      </c>
      <c r="C28" s="120">
        <v>13156</v>
      </c>
      <c r="D28" s="120">
        <v>13363</v>
      </c>
      <c r="E28" s="120">
        <v>10767</v>
      </c>
      <c r="F28" s="121">
        <f t="shared" si="2"/>
        <v>13156</v>
      </c>
      <c r="G28" s="121">
        <f t="shared" si="3"/>
        <v>13363</v>
      </c>
      <c r="H28" s="121">
        <f t="shared" si="4"/>
        <v>10767</v>
      </c>
    </row>
    <row r="29" spans="1:13" ht="13.5" thickBot="1" x14ac:dyDescent="0.25">
      <c r="A29" s="118" t="s">
        <v>51</v>
      </c>
      <c r="B29" s="119">
        <v>1</v>
      </c>
      <c r="C29" s="120">
        <v>8050</v>
      </c>
      <c r="D29" s="120">
        <v>5022</v>
      </c>
      <c r="E29" s="120">
        <v>5950</v>
      </c>
      <c r="F29" s="121">
        <f t="shared" si="2"/>
        <v>8050</v>
      </c>
      <c r="G29" s="121">
        <f t="shared" si="3"/>
        <v>5022</v>
      </c>
      <c r="H29" s="121">
        <f t="shared" si="4"/>
        <v>5950</v>
      </c>
    </row>
    <row r="30" spans="1:13" x14ac:dyDescent="0.2">
      <c r="C30" s="95">
        <f>SUM(C21:C29)</f>
        <v>113024</v>
      </c>
      <c r="D30" s="96">
        <f>SUM(D21:D29)</f>
        <v>128175</v>
      </c>
      <c r="E30" s="100">
        <f t="shared" ref="E30:F30" si="5">SUM(E21:E29)</f>
        <v>105083</v>
      </c>
      <c r="F30" s="95">
        <f t="shared" si="5"/>
        <v>113024</v>
      </c>
      <c r="G30" s="96">
        <f>SUM(G21:G29)</f>
        <v>128175</v>
      </c>
      <c r="H30" s="100">
        <f>SUM(H21:H29)</f>
        <v>105083</v>
      </c>
    </row>
  </sheetData>
  <mergeCells count="3">
    <mergeCell ref="A1:A2"/>
    <mergeCell ref="D1:E1"/>
    <mergeCell ref="A11:E11"/>
  </mergeCells>
  <phoneticPr fontId="59"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6277-0C6B-4436-80B3-37A1C5427142}">
  <dimension ref="A1:T12"/>
  <sheetViews>
    <sheetView zoomScaleNormal="100" workbookViewId="0">
      <selection activeCell="H13" sqref="H13"/>
    </sheetView>
  </sheetViews>
  <sheetFormatPr defaultColWidth="9.140625" defaultRowHeight="15" x14ac:dyDescent="0.2"/>
  <cols>
    <col min="1" max="1" width="20.5703125" style="7" customWidth="1"/>
    <col min="2" max="5" width="8.85546875" style="7" bestFit="1" customWidth="1"/>
    <col min="6" max="6" width="8.85546875" style="7" customWidth="1"/>
    <col min="7" max="8" width="8.7109375" style="7" customWidth="1"/>
    <col min="9" max="9" width="7.140625" style="7" customWidth="1"/>
    <col min="10" max="10" width="5.140625" style="7" customWidth="1"/>
    <col min="11" max="11" width="7.85546875" style="7" customWidth="1"/>
    <col min="12" max="12" width="5.140625" style="7" customWidth="1"/>
    <col min="13" max="17" width="9.28515625" style="7" customWidth="1"/>
    <col min="18" max="18" width="8.85546875" style="7" bestFit="1" customWidth="1"/>
    <col min="19" max="19" width="4.140625" style="7" bestFit="1" customWidth="1"/>
    <col min="20" max="20" width="16.42578125" style="7" customWidth="1"/>
    <col min="21" max="16384" width="9.140625" style="7"/>
  </cols>
  <sheetData>
    <row r="1" spans="1:20" ht="15.75" x14ac:dyDescent="0.25">
      <c r="A1" s="5" t="s">
        <v>11</v>
      </c>
      <c r="B1" s="6"/>
      <c r="C1" s="5"/>
      <c r="D1" s="5"/>
      <c r="E1" s="5"/>
      <c r="F1" s="5"/>
      <c r="G1" s="5"/>
      <c r="H1" s="5"/>
      <c r="I1" s="5"/>
      <c r="J1" s="5"/>
      <c r="K1" s="5"/>
      <c r="L1" s="5"/>
      <c r="M1" s="5"/>
      <c r="N1" s="5"/>
      <c r="O1" s="5"/>
      <c r="P1" s="5"/>
      <c r="Q1" s="5"/>
      <c r="R1" s="5"/>
      <c r="S1" s="5"/>
      <c r="T1" s="5"/>
    </row>
    <row r="2" spans="1:20" ht="6" customHeight="1" x14ac:dyDescent="0.25">
      <c r="A2" s="5"/>
      <c r="B2" s="6"/>
      <c r="C2" s="5"/>
      <c r="D2" s="5"/>
      <c r="E2" s="5"/>
      <c r="F2" s="5"/>
      <c r="G2" s="5"/>
      <c r="H2" s="5"/>
      <c r="I2" s="5"/>
      <c r="J2" s="5"/>
      <c r="K2" s="5"/>
      <c r="L2" s="5"/>
      <c r="M2" s="5"/>
      <c r="N2" s="5"/>
      <c r="O2" s="5"/>
      <c r="P2" s="5"/>
      <c r="Q2" s="5"/>
      <c r="R2" s="5"/>
      <c r="S2" s="5"/>
      <c r="T2" s="5"/>
    </row>
    <row r="3" spans="1:20" ht="15.75" x14ac:dyDescent="0.25">
      <c r="A3" s="142" t="s">
        <v>60</v>
      </c>
      <c r="B3" s="142"/>
      <c r="C3" s="142"/>
      <c r="D3" s="142"/>
      <c r="E3" s="142"/>
      <c r="F3" s="142"/>
      <c r="G3" s="142"/>
      <c r="H3" s="142"/>
      <c r="I3" s="142"/>
      <c r="J3" s="143"/>
      <c r="K3" s="143"/>
      <c r="L3" s="143"/>
      <c r="M3" s="143"/>
      <c r="N3" s="143"/>
      <c r="O3" s="72"/>
      <c r="P3" s="72"/>
      <c r="Q3" s="72"/>
      <c r="R3" s="72"/>
      <c r="S3" s="72"/>
      <c r="T3" s="72"/>
    </row>
    <row r="4" spans="1:20" x14ac:dyDescent="0.2">
      <c r="A4" s="6"/>
      <c r="B4" s="6"/>
      <c r="C4" s="6"/>
      <c r="D4" s="6"/>
      <c r="E4" s="6"/>
      <c r="F4" s="6"/>
      <c r="G4" s="6"/>
      <c r="H4" s="6"/>
      <c r="I4" s="6"/>
      <c r="J4" s="6"/>
      <c r="K4" s="6"/>
      <c r="L4" s="6"/>
      <c r="M4" s="6"/>
      <c r="N4" s="6"/>
      <c r="O4" s="6"/>
      <c r="P4" s="6"/>
      <c r="Q4" s="6"/>
      <c r="R4" s="6"/>
      <c r="S4" s="6"/>
      <c r="T4" s="6"/>
    </row>
    <row r="5" spans="1:20" ht="16.5" thickBot="1" x14ac:dyDescent="0.3">
      <c r="B5" s="8" t="s">
        <v>33</v>
      </c>
      <c r="C5" s="8"/>
      <c r="D5" s="8"/>
      <c r="E5" s="8"/>
      <c r="F5" s="8"/>
      <c r="G5" s="8"/>
      <c r="H5" s="8"/>
      <c r="I5" s="8"/>
      <c r="J5" s="8"/>
      <c r="K5" s="73" t="s">
        <v>34</v>
      </c>
      <c r="L5" s="8"/>
      <c r="M5" s="74" t="s">
        <v>35</v>
      </c>
      <c r="N5" s="74"/>
      <c r="O5" s="74"/>
      <c r="P5" s="74"/>
      <c r="Q5" s="74"/>
      <c r="R5" s="74"/>
      <c r="S5" s="74"/>
      <c r="T5" s="8"/>
    </row>
    <row r="6" spans="1:20" s="11" customFormat="1" ht="135" customHeight="1" x14ac:dyDescent="0.2">
      <c r="A6" s="9"/>
      <c r="B6" s="75" t="s">
        <v>1</v>
      </c>
      <c r="C6" s="76" t="s">
        <v>2</v>
      </c>
      <c r="D6" s="76" t="s">
        <v>3</v>
      </c>
      <c r="E6" s="76" t="s">
        <v>4</v>
      </c>
      <c r="F6" s="76" t="s">
        <v>5</v>
      </c>
      <c r="G6" s="77" t="s">
        <v>36</v>
      </c>
      <c r="H6" s="78" t="s">
        <v>37</v>
      </c>
      <c r="I6" s="79" t="s">
        <v>38</v>
      </c>
      <c r="J6" s="80"/>
      <c r="K6" s="79" t="s">
        <v>39</v>
      </c>
      <c r="L6" s="80"/>
      <c r="M6" s="75" t="str">
        <f>B6</f>
        <v>Evaluator 1</v>
      </c>
      <c r="N6" s="76" t="str">
        <f>C6</f>
        <v>Evaluator 2</v>
      </c>
      <c r="O6" s="76" t="str">
        <f>D6</f>
        <v>Evaluator 3</v>
      </c>
      <c r="P6" s="76" t="str">
        <f>E6</f>
        <v>Evaluator 4</v>
      </c>
      <c r="Q6" s="76" t="str">
        <f>F6</f>
        <v>Evaluator 5</v>
      </c>
      <c r="R6" s="81" t="s">
        <v>40</v>
      </c>
      <c r="S6" s="82" t="s">
        <v>41</v>
      </c>
      <c r="T6" s="80"/>
    </row>
    <row r="7" spans="1:20" s="132" customFormat="1" ht="16.5" customHeight="1" x14ac:dyDescent="0.2">
      <c r="A7" s="122" t="str">
        <f>'1'!A4:C4</f>
        <v>Austin</v>
      </c>
      <c r="B7" s="123">
        <f>'1'!K4</f>
        <v>76.199999999999989</v>
      </c>
      <c r="C7" s="124">
        <f>'2'!K4</f>
        <v>81.300000000000011</v>
      </c>
      <c r="D7" s="124">
        <f>'3'!K4</f>
        <v>84</v>
      </c>
      <c r="E7" s="124">
        <f>'4'!K4</f>
        <v>85.5</v>
      </c>
      <c r="F7" s="124">
        <f>'5'!K4</f>
        <v>78</v>
      </c>
      <c r="G7" s="125">
        <f>AVERAGE(B7:F7)</f>
        <v>81</v>
      </c>
      <c r="H7" s="126">
        <f>SUM(B7:F7)</f>
        <v>405</v>
      </c>
      <c r="I7" s="127">
        <f>RANK(H7,$H$7:$H$9,0)</f>
        <v>1</v>
      </c>
      <c r="J7" s="128"/>
      <c r="K7" s="129">
        <f>HUB!I4</f>
        <v>10</v>
      </c>
      <c r="L7" s="128"/>
      <c r="M7" s="123">
        <f>B7+$K$7</f>
        <v>86.199999999999989</v>
      </c>
      <c r="N7" s="124">
        <f>C7+$K$7</f>
        <v>91.300000000000011</v>
      </c>
      <c r="O7" s="124">
        <f>D7+$K$7</f>
        <v>94</v>
      </c>
      <c r="P7" s="124">
        <f>E7+$K$7</f>
        <v>95.5</v>
      </c>
      <c r="Q7" s="124">
        <f>F7+$K$7</f>
        <v>88</v>
      </c>
      <c r="R7" s="130">
        <f>SUM(M7:Q7)</f>
        <v>455</v>
      </c>
      <c r="S7" s="127">
        <f>RANK(R7,$R$7:$R$9,0)</f>
        <v>1</v>
      </c>
      <c r="T7" s="131"/>
    </row>
    <row r="8" spans="1:20" ht="16.5" customHeight="1" x14ac:dyDescent="0.2">
      <c r="A8" s="12" t="str">
        <f>'1'!A5:C5</f>
        <v>Harvey Cleary</v>
      </c>
      <c r="B8" s="107">
        <f>'1'!K5</f>
        <v>71.9130127813483</v>
      </c>
      <c r="C8" s="108">
        <f>'2'!K5</f>
        <v>80.813012781348277</v>
      </c>
      <c r="D8" s="108">
        <f>'3'!K5</f>
        <v>72.9130127813483</v>
      </c>
      <c r="E8" s="108">
        <f>'4'!K5</f>
        <v>78.9130127813483</v>
      </c>
      <c r="F8" s="108">
        <f>'5'!K5</f>
        <v>72.1630127813483</v>
      </c>
      <c r="G8" s="109">
        <f>AVERAGE(B8:F8)</f>
        <v>75.343012781348293</v>
      </c>
      <c r="H8" s="110">
        <f>SUM(B8:F8)</f>
        <v>376.71506390674148</v>
      </c>
      <c r="I8" s="111">
        <f t="shared" ref="I8:I9" si="0">RANK(H8,$H$7:$H$9,0)</f>
        <v>2</v>
      </c>
      <c r="J8" s="83"/>
      <c r="K8" s="117">
        <f>HUB!I5</f>
        <v>10</v>
      </c>
      <c r="L8" s="80"/>
      <c r="M8" s="107">
        <f>B8+$K$8</f>
        <v>81.9130127813483</v>
      </c>
      <c r="N8" s="108">
        <f>C8+$K$8</f>
        <v>90.813012781348277</v>
      </c>
      <c r="O8" s="108">
        <f>D8+$K$8</f>
        <v>82.9130127813483</v>
      </c>
      <c r="P8" s="108">
        <f>E8+$K$8</f>
        <v>88.9130127813483</v>
      </c>
      <c r="Q8" s="108">
        <f>F8+$K$8</f>
        <v>82.1630127813483</v>
      </c>
      <c r="R8" s="84">
        <f>SUM(M8:Q8)</f>
        <v>426.71506390674148</v>
      </c>
      <c r="S8" s="85">
        <f>RANK(R8,$R$7:$R$9,0)</f>
        <v>2</v>
      </c>
      <c r="T8" s="10"/>
    </row>
    <row r="9" spans="1:20" ht="16.5" customHeight="1" thickBot="1" x14ac:dyDescent="0.25">
      <c r="A9" s="12" t="str">
        <f>'1'!A6:C6</f>
        <v>Whiting Turner</v>
      </c>
      <c r="B9" s="112">
        <f>'1'!K6</f>
        <v>74.390418537497737</v>
      </c>
      <c r="C9" s="113">
        <f>'2'!K6</f>
        <v>76.890418537497737</v>
      </c>
      <c r="D9" s="113">
        <f>'3'!K6</f>
        <v>52.990418537497732</v>
      </c>
      <c r="E9" s="113">
        <f>'4'!K6</f>
        <v>80.990418537497732</v>
      </c>
      <c r="F9" s="113">
        <f>'5'!K6</f>
        <v>69.990418537497732</v>
      </c>
      <c r="G9" s="114">
        <f>AVERAGE(B9:F9)</f>
        <v>71.050418537497734</v>
      </c>
      <c r="H9" s="115">
        <f>SUM(B9:F9)</f>
        <v>355.2520926874887</v>
      </c>
      <c r="I9" s="116">
        <f t="shared" si="0"/>
        <v>3</v>
      </c>
      <c r="J9" s="83"/>
      <c r="K9" s="117">
        <f>HUB!I6</f>
        <v>10</v>
      </c>
      <c r="L9" s="80"/>
      <c r="M9" s="112">
        <f>B9+$K$9</f>
        <v>84.390418537497737</v>
      </c>
      <c r="N9" s="113">
        <f>C9+$K$9</f>
        <v>86.890418537497737</v>
      </c>
      <c r="O9" s="113">
        <f>D9+$K$9</f>
        <v>62.990418537497732</v>
      </c>
      <c r="P9" s="113">
        <f>E9+$K$9</f>
        <v>90.990418537497732</v>
      </c>
      <c r="Q9" s="113">
        <f>F9+$K$9</f>
        <v>79.990418537497732</v>
      </c>
      <c r="R9" s="93">
        <f>SUM(M9:Q9)</f>
        <v>405.2520926874887</v>
      </c>
      <c r="S9" s="94">
        <f>RANK(R9,$R$7:$R$9,0)</f>
        <v>3</v>
      </c>
      <c r="T9" s="10"/>
    </row>
    <row r="11" spans="1:20" x14ac:dyDescent="0.2">
      <c r="K11" s="86"/>
      <c r="L11" s="86"/>
      <c r="M11" s="87"/>
      <c r="N11" s="87"/>
      <c r="O11" s="87"/>
      <c r="P11" s="87"/>
      <c r="Q11" s="87"/>
      <c r="R11" s="87"/>
      <c r="S11" s="87"/>
      <c r="T11" s="87"/>
    </row>
    <row r="12" spans="1:20" x14ac:dyDescent="0.2">
      <c r="K12" s="86"/>
      <c r="L12" s="86"/>
      <c r="M12" s="87"/>
      <c r="N12" s="87"/>
      <c r="O12" s="87"/>
      <c r="P12" s="87"/>
      <c r="Q12" s="87"/>
      <c r="R12" s="87"/>
      <c r="S12" s="87"/>
      <c r="T12" s="87"/>
    </row>
  </sheetData>
  <mergeCells count="1">
    <mergeCell ref="A3:N3"/>
  </mergeCells>
  <phoneticPr fontId="43"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BE9F-9BFC-472D-BEC2-DF0CF31C7DD0}">
  <dimension ref="A1:V47"/>
  <sheetViews>
    <sheetView tabSelected="1" zoomScaleNormal="100" workbookViewId="0">
      <selection activeCell="T13" sqref="T13:V13"/>
    </sheetView>
  </sheetViews>
  <sheetFormatPr defaultRowHeight="12.75" x14ac:dyDescent="0.2"/>
  <cols>
    <col min="1" max="1" width="20.7109375" style="146" customWidth="1"/>
    <col min="2" max="22" width="9.5703125" style="146" customWidth="1"/>
    <col min="23" max="16384" width="9.140625" style="146"/>
  </cols>
  <sheetData>
    <row r="1" spans="1:22" ht="15.75" customHeight="1" x14ac:dyDescent="0.25">
      <c r="A1" s="144" t="s">
        <v>61</v>
      </c>
      <c r="B1" s="144"/>
      <c r="C1" s="144"/>
      <c r="D1" s="144"/>
      <c r="E1" s="144"/>
      <c r="F1" s="144"/>
      <c r="G1" s="144"/>
      <c r="H1" s="144"/>
      <c r="I1" s="144"/>
      <c r="J1" s="145"/>
    </row>
    <row r="2" spans="1:22" ht="15.75" x14ac:dyDescent="0.25">
      <c r="A2" s="147" t="s">
        <v>62</v>
      </c>
      <c r="B2" s="147"/>
      <c r="C2" s="147"/>
      <c r="D2" s="147"/>
      <c r="E2" s="147"/>
      <c r="F2" s="147"/>
      <c r="G2" s="147"/>
      <c r="H2" s="147"/>
      <c r="I2" s="147"/>
      <c r="J2" s="148"/>
    </row>
    <row r="3" spans="1:22" x14ac:dyDescent="0.2">
      <c r="A3" s="149" t="s">
        <v>63</v>
      </c>
      <c r="B3" s="150"/>
      <c r="C3" s="151"/>
      <c r="D3" s="152"/>
    </row>
    <row r="4" spans="1:22" ht="15" customHeight="1" x14ac:dyDescent="0.2">
      <c r="A4" s="149" t="s">
        <v>64</v>
      </c>
      <c r="B4" s="153" t="s">
        <v>65</v>
      </c>
      <c r="C4" s="153"/>
      <c r="D4" s="153"/>
      <c r="E4" s="154"/>
    </row>
    <row r="5" spans="1:22" ht="20.25" customHeight="1" x14ac:dyDescent="0.25">
      <c r="A5" s="155" t="s">
        <v>66</v>
      </c>
      <c r="B5" s="155"/>
      <c r="C5" s="156"/>
      <c r="D5" s="156"/>
      <c r="E5" s="156"/>
      <c r="F5" s="156"/>
      <c r="G5" s="156"/>
    </row>
    <row r="6" spans="1:22" ht="27" customHeight="1" x14ac:dyDescent="0.2">
      <c r="A6" s="157"/>
      <c r="B6" s="158" t="s">
        <v>67</v>
      </c>
      <c r="C6" s="158"/>
      <c r="D6" s="158"/>
      <c r="E6" s="158"/>
      <c r="F6" s="158"/>
      <c r="G6" s="158"/>
      <c r="H6" s="158"/>
      <c r="I6" s="158"/>
    </row>
    <row r="7" spans="1:22" ht="20.25" customHeight="1" x14ac:dyDescent="0.25">
      <c r="A7" s="159" t="s">
        <v>68</v>
      </c>
      <c r="B7" s="159"/>
      <c r="C7" s="160"/>
      <c r="D7" s="161"/>
      <c r="E7" s="161"/>
      <c r="F7" s="161"/>
      <c r="G7" s="161"/>
    </row>
    <row r="8" spans="1:22" ht="27" customHeight="1" x14ac:dyDescent="0.2">
      <c r="A8" s="157"/>
      <c r="B8" s="158" t="s">
        <v>69</v>
      </c>
      <c r="C8" s="158"/>
      <c r="D8" s="158"/>
      <c r="E8" s="158"/>
      <c r="F8" s="158"/>
      <c r="G8" s="158"/>
      <c r="H8" s="158"/>
      <c r="I8" s="158"/>
    </row>
    <row r="9" spans="1:22" ht="15" customHeight="1" x14ac:dyDescent="0.2"/>
    <row r="10" spans="1:22" ht="15" customHeight="1" x14ac:dyDescent="0.2"/>
    <row r="11" spans="1:22" ht="11.25" customHeight="1" thickBot="1" x14ac:dyDescent="0.25"/>
    <row r="12" spans="1:22" s="162" customFormat="1" ht="13.5" thickBot="1" x14ac:dyDescent="0.25">
      <c r="B12" s="163" t="s">
        <v>70</v>
      </c>
      <c r="C12" s="164"/>
      <c r="D12" s="165"/>
      <c r="E12" s="163" t="s">
        <v>71</v>
      </c>
      <c r="F12" s="164"/>
      <c r="G12" s="165"/>
      <c r="H12" s="163" t="s">
        <v>72</v>
      </c>
      <c r="I12" s="164"/>
      <c r="J12" s="165"/>
      <c r="K12" s="163" t="s">
        <v>73</v>
      </c>
      <c r="L12" s="164"/>
      <c r="M12" s="165"/>
      <c r="N12" s="163" t="s">
        <v>74</v>
      </c>
      <c r="O12" s="164"/>
      <c r="P12" s="165"/>
      <c r="Q12" s="163" t="s">
        <v>75</v>
      </c>
      <c r="R12" s="164"/>
      <c r="S12" s="165"/>
      <c r="T12" s="163" t="s">
        <v>76</v>
      </c>
      <c r="U12" s="164"/>
      <c r="V12" s="165"/>
    </row>
    <row r="13" spans="1:22" s="162" customFormat="1" ht="105.75" customHeight="1" x14ac:dyDescent="0.2">
      <c r="B13" s="166" t="s">
        <v>77</v>
      </c>
      <c r="C13" s="167"/>
      <c r="D13" s="168"/>
      <c r="E13" s="166" t="s">
        <v>78</v>
      </c>
      <c r="F13" s="167"/>
      <c r="G13" s="168"/>
      <c r="H13" s="166" t="s">
        <v>79</v>
      </c>
      <c r="I13" s="167"/>
      <c r="J13" s="168"/>
      <c r="K13" s="166" t="s">
        <v>80</v>
      </c>
      <c r="L13" s="167"/>
      <c r="M13" s="168"/>
      <c r="N13" s="166" t="s">
        <v>81</v>
      </c>
      <c r="O13" s="167"/>
      <c r="P13" s="168"/>
      <c r="Q13" s="169" t="s">
        <v>82</v>
      </c>
      <c r="R13" s="170"/>
      <c r="S13" s="171"/>
      <c r="T13" s="169" t="s">
        <v>83</v>
      </c>
      <c r="U13" s="170"/>
      <c r="V13" s="171"/>
    </row>
    <row r="14" spans="1:22" s="176" customFormat="1" ht="11.25" customHeight="1" x14ac:dyDescent="0.2">
      <c r="A14" s="172"/>
      <c r="B14" s="173" t="s">
        <v>84</v>
      </c>
      <c r="C14" s="174"/>
      <c r="D14" s="175"/>
      <c r="E14" s="173" t="s">
        <v>84</v>
      </c>
      <c r="F14" s="174"/>
      <c r="G14" s="175"/>
      <c r="H14" s="173" t="s">
        <v>84</v>
      </c>
      <c r="I14" s="174"/>
      <c r="J14" s="175"/>
      <c r="K14" s="173" t="s">
        <v>84</v>
      </c>
      <c r="L14" s="174"/>
      <c r="M14" s="175"/>
      <c r="N14" s="173" t="s">
        <v>84</v>
      </c>
      <c r="O14" s="174"/>
      <c r="P14" s="175"/>
      <c r="Q14" s="173" t="s">
        <v>84</v>
      </c>
      <c r="R14" s="174"/>
      <c r="S14" s="175"/>
      <c r="T14" s="173" t="s">
        <v>84</v>
      </c>
      <c r="U14" s="174"/>
      <c r="V14" s="175"/>
    </row>
    <row r="15" spans="1:22" s="176" customFormat="1" x14ac:dyDescent="0.2">
      <c r="A15" s="177" t="s">
        <v>55</v>
      </c>
      <c r="B15" s="178"/>
      <c r="C15" s="179"/>
      <c r="D15" s="180"/>
      <c r="E15" s="178"/>
      <c r="F15" s="179"/>
      <c r="G15" s="180"/>
      <c r="H15" s="178"/>
      <c r="I15" s="179"/>
      <c r="J15" s="180"/>
      <c r="K15" s="178"/>
      <c r="L15" s="179"/>
      <c r="M15" s="180"/>
      <c r="N15" s="178"/>
      <c r="O15" s="179"/>
      <c r="P15" s="180"/>
      <c r="Q15" s="181"/>
      <c r="R15" s="182"/>
      <c r="S15" s="183"/>
      <c r="T15" s="181"/>
      <c r="U15" s="182"/>
      <c r="V15" s="183"/>
    </row>
    <row r="16" spans="1:22" s="176" customFormat="1" x14ac:dyDescent="0.2">
      <c r="A16" s="177" t="s">
        <v>56</v>
      </c>
      <c r="B16" s="184"/>
      <c r="C16" s="185"/>
      <c r="D16" s="186"/>
      <c r="E16" s="184"/>
      <c r="F16" s="185"/>
      <c r="G16" s="186"/>
      <c r="H16" s="184"/>
      <c r="I16" s="185"/>
      <c r="J16" s="186"/>
      <c r="K16" s="184"/>
      <c r="L16" s="185"/>
      <c r="M16" s="186"/>
      <c r="N16" s="184"/>
      <c r="O16" s="185"/>
      <c r="P16" s="186"/>
      <c r="Q16" s="187"/>
      <c r="R16" s="188"/>
      <c r="S16" s="189"/>
      <c r="T16" s="187"/>
      <c r="U16" s="188"/>
      <c r="V16" s="189"/>
    </row>
    <row r="17" spans="1:22" s="176" customFormat="1" x14ac:dyDescent="0.2">
      <c r="A17" s="177" t="s">
        <v>57</v>
      </c>
      <c r="B17" s="184"/>
      <c r="C17" s="185"/>
      <c r="D17" s="186"/>
      <c r="E17" s="184"/>
      <c r="F17" s="185"/>
      <c r="G17" s="186"/>
      <c r="H17" s="184"/>
      <c r="I17" s="185"/>
      <c r="J17" s="186"/>
      <c r="K17" s="184"/>
      <c r="L17" s="185"/>
      <c r="M17" s="186"/>
      <c r="N17" s="184"/>
      <c r="O17" s="185"/>
      <c r="P17" s="186"/>
      <c r="Q17" s="187"/>
      <c r="R17" s="188"/>
      <c r="S17" s="189"/>
      <c r="T17" s="187"/>
      <c r="U17" s="188"/>
      <c r="V17" s="189"/>
    </row>
    <row r="18" spans="1:22" s="191" customFormat="1" ht="7.5" customHeight="1" x14ac:dyDescent="0.2">
      <c r="A18" s="190"/>
      <c r="B18" s="190"/>
      <c r="C18" s="190"/>
      <c r="D18" s="190"/>
      <c r="E18" s="190"/>
      <c r="F18" s="190"/>
      <c r="G18" s="190"/>
      <c r="H18" s="190"/>
      <c r="I18" s="190"/>
      <c r="J18" s="190"/>
      <c r="K18" s="190"/>
      <c r="L18" s="190"/>
      <c r="M18" s="190"/>
      <c r="N18" s="190"/>
      <c r="O18" s="190"/>
      <c r="P18" s="190"/>
      <c r="Q18" s="190"/>
      <c r="R18" s="190"/>
      <c r="S18" s="190"/>
      <c r="T18" s="190"/>
      <c r="U18" s="190"/>
      <c r="V18" s="190"/>
    </row>
    <row r="19" spans="1:22" s="192" customFormat="1" ht="6.75" customHeight="1" x14ac:dyDescent="0.2"/>
    <row r="21" spans="1:22" x14ac:dyDescent="0.2">
      <c r="A21" s="193"/>
      <c r="G21" s="194"/>
      <c r="H21" s="194"/>
    </row>
    <row r="22" spans="1:22" x14ac:dyDescent="0.2">
      <c r="A22" s="195" t="s">
        <v>85</v>
      </c>
      <c r="G22" s="194"/>
      <c r="H22" s="194"/>
      <c r="I22" s="194"/>
      <c r="J22" s="194"/>
    </row>
    <row r="23" spans="1:22" ht="15" x14ac:dyDescent="0.25">
      <c r="A23" s="196"/>
      <c r="B23" s="196"/>
      <c r="C23" s="196"/>
      <c r="D23" s="197"/>
      <c r="G23" s="194"/>
      <c r="H23" s="194"/>
      <c r="I23" s="194"/>
      <c r="J23" s="194"/>
    </row>
    <row r="24" spans="1:22" ht="15" x14ac:dyDescent="0.25">
      <c r="A24" s="196"/>
      <c r="B24" s="196"/>
      <c r="C24" s="196"/>
      <c r="D24" s="197"/>
      <c r="G24" s="194"/>
      <c r="H24" s="194"/>
      <c r="I24" s="194"/>
      <c r="J24" s="194"/>
    </row>
    <row r="25" spans="1:22" ht="15" x14ac:dyDescent="0.25">
      <c r="A25" s="196"/>
      <c r="B25" s="196"/>
      <c r="C25" s="196"/>
      <c r="D25" s="197"/>
      <c r="G25" s="194"/>
      <c r="H25" s="194"/>
      <c r="I25" s="194"/>
      <c r="J25" s="194"/>
    </row>
    <row r="26" spans="1:22" ht="15" x14ac:dyDescent="0.25">
      <c r="A26" s="196"/>
      <c r="B26" s="196"/>
      <c r="C26" s="196"/>
      <c r="D26" s="197"/>
      <c r="G26" s="194"/>
      <c r="H26" s="198"/>
      <c r="I26" s="194"/>
      <c r="J26" s="194"/>
    </row>
    <row r="27" spans="1:22" ht="15" x14ac:dyDescent="0.25">
      <c r="A27" s="196"/>
      <c r="B27" s="196"/>
      <c r="C27" s="196"/>
      <c r="D27" s="197"/>
      <c r="G27" s="194"/>
      <c r="H27" s="194"/>
      <c r="I27" s="194"/>
      <c r="J27" s="194"/>
    </row>
    <row r="28" spans="1:22" ht="15" x14ac:dyDescent="0.25">
      <c r="A28" s="196"/>
      <c r="B28" s="196"/>
      <c r="C28" s="196"/>
      <c r="D28" s="197"/>
      <c r="G28" s="194"/>
      <c r="H28" s="194"/>
      <c r="I28" s="194"/>
      <c r="J28" s="194"/>
    </row>
    <row r="29" spans="1:22" x14ac:dyDescent="0.2">
      <c r="I29" s="194"/>
      <c r="J29" s="194"/>
      <c r="K29" s="194"/>
      <c r="L29" s="194"/>
    </row>
    <row r="30" spans="1:22" x14ac:dyDescent="0.2">
      <c r="I30" s="194"/>
      <c r="J30" s="194"/>
      <c r="K30" s="194"/>
      <c r="L30" s="194"/>
      <c r="M30" s="194"/>
    </row>
    <row r="31" spans="1:22" x14ac:dyDescent="0.2">
      <c r="L31" s="194"/>
      <c r="M31" s="194"/>
    </row>
    <row r="32" spans="1:22" x14ac:dyDescent="0.2">
      <c r="L32" s="194"/>
      <c r="M32" s="194"/>
    </row>
    <row r="33" spans="1:13" x14ac:dyDescent="0.2">
      <c r="L33" s="194"/>
      <c r="M33" s="194"/>
    </row>
    <row r="34" spans="1:13" x14ac:dyDescent="0.2">
      <c r="L34" s="194"/>
      <c r="M34" s="194"/>
    </row>
    <row r="47" spans="1:13" x14ac:dyDescent="0.2">
      <c r="A47" s="199" t="s">
        <v>86</v>
      </c>
    </row>
  </sheetData>
  <mergeCells count="50">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HUB</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2024-10-01T14:48:17Z</dcterms:modified>
</cp:coreProperties>
</file>